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showInkAnnotation="0" autoCompressPictures="0"/>
  <bookViews>
    <workbookView xWindow="3140" yWindow="2760" windowWidth="35120" windowHeight="15520" tabRatio="500"/>
  </bookViews>
  <sheets>
    <sheet name="Rig" sheetId="1" r:id="rId1"/>
    <sheet name="Data" sheetId="2" r:id="rId2"/>
    <sheet name="Text" sheetId="3"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70" i="2" l="1"/>
  <c r="B71" i="2"/>
  <c r="C68" i="2"/>
  <c r="C71" i="2"/>
  <c r="C72" i="2"/>
  <c r="C66" i="2"/>
  <c r="B80" i="2"/>
  <c r="C69" i="2"/>
  <c r="B79" i="2"/>
  <c r="B81" i="2"/>
  <c r="C67" i="2"/>
  <c r="B82" i="2"/>
  <c r="B83" i="2"/>
  <c r="C75" i="2"/>
  <c r="B84" i="2"/>
  <c r="B85" i="2"/>
  <c r="B88" i="2"/>
  <c r="B82" i="1"/>
  <c r="B83" i="1"/>
  <c r="B88" i="1"/>
  <c r="C76" i="2"/>
  <c r="B91" i="1"/>
  <c r="E91" i="1"/>
  <c r="B95" i="1"/>
  <c r="B98" i="1"/>
  <c r="A119" i="3"/>
  <c r="D98" i="1"/>
  <c r="A116" i="3"/>
  <c r="A112" i="3"/>
  <c r="A98" i="2"/>
  <c r="B92" i="1"/>
  <c r="A60" i="3"/>
  <c r="B2" i="2"/>
  <c r="A115" i="3"/>
  <c r="B96" i="1"/>
  <c r="B102" i="1"/>
  <c r="B91" i="2"/>
  <c r="A97" i="2"/>
  <c r="A114" i="3"/>
  <c r="A96" i="2"/>
  <c r="A113" i="3"/>
  <c r="A95" i="2"/>
  <c r="A111" i="3"/>
  <c r="C73" i="2"/>
  <c r="A94" i="2"/>
  <c r="A110" i="3"/>
  <c r="A93" i="2"/>
  <c r="A48" i="3"/>
  <c r="D95" i="1"/>
  <c r="A98" i="3"/>
  <c r="A80" i="2"/>
  <c r="A99" i="3"/>
  <c r="A81" i="2"/>
  <c r="A100" i="3"/>
  <c r="A82" i="2"/>
  <c r="A101" i="3"/>
  <c r="A83" i="2"/>
  <c r="A102" i="3"/>
  <c r="A84" i="2"/>
  <c r="A103" i="3"/>
  <c r="A85" i="2"/>
  <c r="A104" i="3"/>
  <c r="A86" i="2"/>
  <c r="A105" i="3"/>
  <c r="A87" i="2"/>
  <c r="A106" i="3"/>
  <c r="A88" i="2"/>
  <c r="A107" i="3"/>
  <c r="A89" i="2"/>
  <c r="A108" i="3"/>
  <c r="A90" i="2"/>
  <c r="A109" i="3"/>
  <c r="A91" i="2"/>
  <c r="A97" i="3"/>
  <c r="A79" i="2"/>
  <c r="A96" i="3"/>
  <c r="A78" i="2"/>
  <c r="A84" i="3"/>
  <c r="C65" i="2"/>
  <c r="A85" i="3"/>
  <c r="A86" i="3"/>
  <c r="A67" i="2"/>
  <c r="A87" i="3"/>
  <c r="A68" i="2"/>
  <c r="A88" i="3"/>
  <c r="A69" i="2"/>
  <c r="A89" i="3"/>
  <c r="A70" i="2"/>
  <c r="A90" i="3"/>
  <c r="A71" i="2"/>
  <c r="A91" i="3"/>
  <c r="A72" i="2"/>
  <c r="A92" i="3"/>
  <c r="A73" i="2"/>
  <c r="A93" i="3"/>
  <c r="A74" i="2"/>
  <c r="A94" i="3"/>
  <c r="A75" i="2"/>
  <c r="A95" i="3"/>
  <c r="A76" i="2"/>
  <c r="A66" i="2"/>
  <c r="A83" i="3"/>
  <c r="A65" i="2"/>
  <c r="A82" i="3"/>
  <c r="A63" i="2"/>
  <c r="A81" i="3"/>
  <c r="B53" i="2"/>
  <c r="A80" i="3"/>
  <c r="A52" i="2"/>
  <c r="A79" i="3"/>
  <c r="A37" i="2"/>
  <c r="A78" i="3"/>
  <c r="D36" i="2"/>
  <c r="A77" i="3"/>
  <c r="B36" i="2"/>
  <c r="A76" i="3"/>
  <c r="A31" i="2"/>
  <c r="A75" i="3"/>
  <c r="A74" i="3"/>
  <c r="A26" i="2"/>
  <c r="A73" i="3"/>
  <c r="A25" i="2"/>
  <c r="A24" i="3"/>
  <c r="A24" i="2"/>
  <c r="A62" i="3"/>
  <c r="A12" i="2"/>
  <c r="A63" i="3"/>
  <c r="A13" i="2"/>
  <c r="A64" i="3"/>
  <c r="A14" i="2"/>
  <c r="A65" i="3"/>
  <c r="A15" i="2"/>
  <c r="A66" i="3"/>
  <c r="A16" i="2"/>
  <c r="A67" i="3"/>
  <c r="A17" i="2"/>
  <c r="A68" i="3"/>
  <c r="A18" i="2"/>
  <c r="A69" i="3"/>
  <c r="A19" i="2"/>
  <c r="A70" i="3"/>
  <c r="A20" i="2"/>
  <c r="A71" i="3"/>
  <c r="A21" i="2"/>
  <c r="A72" i="3"/>
  <c r="A22" i="2"/>
  <c r="A61" i="3"/>
  <c r="A11" i="2"/>
  <c r="B10" i="2"/>
  <c r="A23" i="3"/>
  <c r="A10" i="2"/>
  <c r="A59" i="3"/>
  <c r="A8" i="2"/>
  <c r="A58" i="3"/>
  <c r="A7" i="2"/>
  <c r="A57" i="3"/>
  <c r="B6" i="2"/>
  <c r="A56" i="3"/>
  <c r="A6" i="2"/>
  <c r="A55" i="3"/>
  <c r="A4" i="2"/>
  <c r="A54" i="3"/>
  <c r="A3" i="2"/>
  <c r="A2" i="2"/>
  <c r="A52" i="3"/>
  <c r="A106" i="1"/>
  <c r="A51" i="3"/>
  <c r="A105" i="1"/>
  <c r="A30" i="3"/>
  <c r="A102" i="1"/>
  <c r="A50" i="3"/>
  <c r="A100" i="1"/>
  <c r="A49" i="3"/>
  <c r="A98" i="1"/>
  <c r="A96" i="1"/>
  <c r="A47" i="3"/>
  <c r="A94" i="1"/>
  <c r="A45" i="3"/>
  <c r="D91" i="1"/>
  <c r="A44" i="3"/>
  <c r="A91" i="1"/>
  <c r="A88" i="1"/>
  <c r="A43" i="3"/>
  <c r="A86" i="1"/>
  <c r="A83" i="1"/>
  <c r="A42" i="3"/>
  <c r="A81" i="1"/>
  <c r="A41" i="3"/>
  <c r="C79" i="1"/>
  <c r="A40" i="3"/>
  <c r="B78" i="1"/>
  <c r="A39" i="3"/>
  <c r="B77" i="1"/>
  <c r="A38" i="3"/>
  <c r="C76" i="1"/>
  <c r="A37" i="3"/>
  <c r="A74" i="1"/>
  <c r="A36" i="3"/>
  <c r="A73" i="1"/>
  <c r="A35" i="3"/>
  <c r="D70" i="1"/>
  <c r="D68" i="1"/>
  <c r="A69" i="1"/>
  <c r="A34" i="3"/>
  <c r="A67" i="1"/>
  <c r="A33" i="3"/>
  <c r="D64" i="1"/>
  <c r="A32" i="3"/>
  <c r="D63" i="1"/>
  <c r="A31" i="3"/>
  <c r="A64" i="1"/>
  <c r="A63" i="1"/>
  <c r="A29" i="3"/>
  <c r="A61" i="1"/>
  <c r="A28" i="3"/>
  <c r="A59" i="1"/>
  <c r="A27" i="3"/>
  <c r="A57" i="1"/>
  <c r="A26" i="3"/>
  <c r="A55" i="1"/>
  <c r="A25" i="3"/>
  <c r="A53" i="1"/>
  <c r="A52" i="1"/>
  <c r="A50" i="1"/>
  <c r="A22" i="3"/>
  <c r="A48" i="1"/>
  <c r="A21" i="3"/>
  <c r="A47" i="1"/>
  <c r="A20" i="3"/>
  <c r="D45" i="1"/>
  <c r="A19" i="3"/>
  <c r="A45" i="1"/>
  <c r="A18" i="3"/>
  <c r="A44" i="1"/>
  <c r="A17" i="3"/>
  <c r="A42" i="1"/>
  <c r="A16" i="3"/>
  <c r="A41" i="1"/>
  <c r="A15" i="3"/>
  <c r="A40" i="1"/>
  <c r="A14" i="3"/>
  <c r="A39" i="1"/>
  <c r="A13" i="3"/>
  <c r="A38" i="1"/>
  <c r="A12" i="3"/>
  <c r="A35" i="1"/>
  <c r="A11" i="3"/>
  <c r="A34" i="1"/>
  <c r="A46" i="3"/>
  <c r="A117" i="3"/>
  <c r="A118" i="3"/>
  <c r="A120" i="3"/>
  <c r="A121" i="3"/>
  <c r="A122" i="3"/>
  <c r="A123" i="3"/>
  <c r="A124" i="3"/>
  <c r="A125" i="3"/>
  <c r="A2" i="1"/>
  <c r="A10" i="3"/>
  <c r="A9" i="3"/>
  <c r="A1" i="1"/>
  <c r="C74" i="2"/>
  <c r="B86" i="2"/>
  <c r="B70" i="1"/>
  <c r="B90" i="2"/>
  <c r="B71" i="1"/>
  <c r="B87" i="2"/>
  <c r="B89" i="2"/>
  <c r="B84" i="1"/>
  <c r="B97" i="1"/>
  <c r="C106" i="1"/>
  <c r="C107" i="1"/>
  <c r="D78" i="1"/>
  <c r="D106" i="1"/>
  <c r="D107" i="1"/>
  <c r="E78" i="1"/>
  <c r="E106" i="1"/>
  <c r="E107" i="1"/>
  <c r="F78" i="1"/>
  <c r="F106" i="1"/>
  <c r="F107" i="1"/>
  <c r="G78" i="1"/>
  <c r="G106" i="1"/>
  <c r="G107" i="1"/>
  <c r="H78" i="1"/>
  <c r="B106" i="1"/>
  <c r="B107" i="1"/>
  <c r="C78" i="1"/>
  <c r="B65" i="1"/>
  <c r="B62" i="1"/>
  <c r="B64" i="1"/>
  <c r="E68" i="1"/>
  <c r="E70" i="1"/>
  <c r="B63" i="1"/>
  <c r="D40" i="1"/>
  <c r="D41" i="1"/>
  <c r="D42" i="1"/>
  <c r="D39" i="1"/>
  <c r="E46" i="1"/>
  <c r="B101" i="1"/>
  <c r="D102" i="1"/>
  <c r="A101" i="1"/>
  <c r="A95" i="1"/>
  <c r="A87" i="1"/>
  <c r="A82" i="1"/>
  <c r="A68" i="1"/>
  <c r="A62" i="1"/>
  <c r="A70" i="1"/>
  <c r="A65" i="1"/>
  <c r="B103" i="1"/>
  <c r="A103" i="1"/>
  <c r="A97" i="1"/>
  <c r="B89" i="1"/>
  <c r="A84" i="1"/>
  <c r="A89" i="1"/>
  <c r="B68" i="1"/>
  <c r="E45" i="1"/>
  <c r="B87" i="1"/>
</calcChain>
</file>

<file path=xl/sharedStrings.xml><?xml version="1.0" encoding="utf-8"?>
<sst xmlns="http://schemas.openxmlformats.org/spreadsheetml/2006/main" count="334" uniqueCount="243">
  <si>
    <t>Material</t>
  </si>
  <si>
    <t>Stahl</t>
  </si>
  <si>
    <t>Alu</t>
  </si>
  <si>
    <t>Süß</t>
  </si>
  <si>
    <t>Salzig</t>
  </si>
  <si>
    <t>Mono</t>
  </si>
  <si>
    <t>Doppel</t>
  </si>
  <si>
    <t>Größe</t>
  </si>
  <si>
    <t>Bar</t>
  </si>
  <si>
    <t>Selektiert</t>
  </si>
  <si>
    <t>bar</t>
  </si>
  <si>
    <t>Gewicht:</t>
  </si>
  <si>
    <t>kg</t>
  </si>
  <si>
    <t>liter</t>
  </si>
  <si>
    <t>Rechnung</t>
  </si>
  <si>
    <t>Auftrieb Flasche material</t>
  </si>
  <si>
    <t>Auftrieb leere Flasche</t>
  </si>
  <si>
    <t>kg/liter</t>
  </si>
  <si>
    <t>Auftrieb volle Flasche</t>
  </si>
  <si>
    <t>230bar</t>
  </si>
  <si>
    <t>300bar</t>
  </si>
  <si>
    <t>Index</t>
  </si>
  <si>
    <t>Anzahl</t>
  </si>
  <si>
    <t>Gewicht Stahl</t>
  </si>
  <si>
    <t>Gewicht Alu</t>
  </si>
  <si>
    <t>Automaten:</t>
  </si>
  <si>
    <t>Lampe:</t>
  </si>
  <si>
    <t>Sonstiges:</t>
  </si>
  <si>
    <t>Tauchflasche(n):</t>
  </si>
  <si>
    <t>Anzug:</t>
  </si>
  <si>
    <t>Flaschen Liter</t>
  </si>
  <si>
    <t>bar liter</t>
  </si>
  <si>
    <t>Auftrieb:</t>
  </si>
  <si>
    <t>Blei minimum:</t>
  </si>
  <si>
    <t>Flaschen Auftrieb:</t>
  </si>
  <si>
    <t>Leer</t>
  </si>
  <si>
    <t>x</t>
  </si>
  <si>
    <t>Wasser:</t>
  </si>
  <si>
    <t>Aufgerundet:</t>
  </si>
  <si>
    <t>entspricht</t>
  </si>
  <si>
    <t>lbs</t>
  </si>
  <si>
    <t>Wert</t>
  </si>
  <si>
    <t>Rotes Meer</t>
  </si>
  <si>
    <t>Kaspisches Meer</t>
  </si>
  <si>
    <t>Mittelmeer</t>
  </si>
  <si>
    <t>Ostsee</t>
  </si>
  <si>
    <t>Pazifik</t>
  </si>
  <si>
    <t>Schwarzes Meer</t>
  </si>
  <si>
    <t>Totes Meer</t>
  </si>
  <si>
    <t>Atlantik/Bering/Nord Polar/Irische See</t>
  </si>
  <si>
    <t>liter/min</t>
  </si>
  <si>
    <t>Zeit in Minuten bis Flasche leer</t>
  </si>
  <si>
    <t>Flaschen Gewicht:</t>
  </si>
  <si>
    <t>Tiefe in meter</t>
  </si>
  <si>
    <t>kg/l</t>
  </si>
  <si>
    <t>l</t>
  </si>
  <si>
    <t>Wasser Salzgehalt</t>
  </si>
  <si>
    <t>Gewicht Flasche &amp; Gesamt</t>
  </si>
  <si>
    <t>Volumen Flasche (Material+Inhalt)</t>
  </si>
  <si>
    <t>bar l</t>
  </si>
  <si>
    <t>Größe der Reserve (50bar)</t>
  </si>
  <si>
    <t>Tockenanzug</t>
  </si>
  <si>
    <t>Naßanzug</t>
  </si>
  <si>
    <t>Extra Kilos für Luftfüllung im Trocki</t>
  </si>
  <si>
    <t>Material Flasche</t>
  </si>
  <si>
    <t>Anzug Typ, extra Blei</t>
  </si>
  <si>
    <t>Backplate/Jacket:</t>
  </si>
  <si>
    <t>Inhalt der Flasche, voll</t>
  </si>
  <si>
    <t>Inhalt gewicht, voll</t>
  </si>
  <si>
    <t>Inhalt der Flasche, aktuell</t>
  </si>
  <si>
    <t>Inhalt gewicht, aktuell</t>
  </si>
  <si>
    <t>Auftrieb aktuell Flasche</t>
  </si>
  <si>
    <t>Reserve 50bar:</t>
  </si>
  <si>
    <t>AMV Durchschnitt</t>
  </si>
  <si>
    <t>Van der Waals Kräfte Anpassung, aktuell</t>
  </si>
  <si>
    <t>Van der Waals Kräfte Anpassung, voll</t>
  </si>
  <si>
    <t>Aktuell Bar in Flasche</t>
  </si>
  <si>
    <t>Flaschen typ, Bar voll</t>
  </si>
  <si>
    <t>Auftrieb ohne Anzug mit Blei am Gerät und Ausrüstung:</t>
  </si>
  <si>
    <t>Gesamt Auftrieb mit Anzug, Ausrüstung, Gerät und Blei:</t>
  </si>
  <si>
    <t>Flaschen Luftvolumen</t>
  </si>
  <si>
    <t>Vorsicht! Angegebene Zeiten nur für Rechteck Tauchgänge! Richtige Tauchgangsplanung durchführen!</t>
  </si>
  <si>
    <t>Aktuell gefüllt mit</t>
  </si>
  <si>
    <t>Anzug</t>
  </si>
  <si>
    <t>Ausführung</t>
  </si>
  <si>
    <t>Größe in liter</t>
  </si>
  <si>
    <t>Maximal Druck</t>
  </si>
  <si>
    <t>Van der Waals Kraft Korrektur</t>
  </si>
  <si>
    <t>Faktor</t>
  </si>
  <si>
    <t>Gewicht der Luft</t>
  </si>
  <si>
    <t>Dichte kg/l</t>
  </si>
  <si>
    <t>Maximaler Auftrieb:</t>
  </si>
  <si>
    <t>Gewicht zu perfektem Blei</t>
  </si>
  <si>
    <t>Auftrieb zu Jacket/Wing</t>
  </si>
  <si>
    <t>Auftrieb Gerät &amp; Ausrüstung ohne Blei mit Anzug:</t>
  </si>
  <si>
    <t>Maximale Tiefe in Metern</t>
  </si>
  <si>
    <t>Persischer Golf</t>
  </si>
  <si>
    <t>Luftverbrauch / Ungefähre maximale Tauchgangsdauer mit aktueller Füllung</t>
  </si>
  <si>
    <t>Bar Liter</t>
  </si>
  <si>
    <t xml:space="preserve"> (10 meter/min Abstieg - 9 meter/min Aufstieg - 3min Sicherheitsstop - Reserve - Jacketfüllung)</t>
  </si>
  <si>
    <t>N</t>
  </si>
  <si>
    <t>Volumen Flasche (Material)</t>
  </si>
  <si>
    <t>Korrektur:</t>
  </si>
  <si>
    <t>Leer Korregiert</t>
  </si>
  <si>
    <t>Flasche Gewicht korregiert</t>
  </si>
  <si>
    <t>(Wenn das angegebene Gewicht nicht mit den eigenen Flasche(n) übereinstimmt, Wert mit +- Zahl korregieren)</t>
  </si>
  <si>
    <t>Ausrüstung Gewicht:</t>
  </si>
  <si>
    <t>Jacket/Wing Größe</t>
  </si>
  <si>
    <t>(Abtrieb negativ, Auftrieb positiv, siehe Kasten für Beispiele)</t>
  </si>
  <si>
    <t>Balanced Rig - Flaschen- &amp; Auftriebskörpergrößen - Bleiwahl</t>
  </si>
  <si>
    <t>Luft volumen verbrauch für Jacket, um in der Tiefe positiven Auftrieb ohne Anzug mit akuteller Flaschenfüllung zu erzeugen (+10%)</t>
  </si>
  <si>
    <t>Minimaler benötigter Auftrieb im Jacket/Wing falls Anzug kein Auftrieb liefert</t>
  </si>
  <si>
    <t>Nordsee/Indischer Ozean</t>
  </si>
  <si>
    <t>Language</t>
  </si>
  <si>
    <t>Language#</t>
  </si>
  <si>
    <t>Deutsch</t>
  </si>
  <si>
    <t>English</t>
  </si>
  <si>
    <t>Actual Language</t>
  </si>
  <si>
    <t>Actual Text</t>
  </si>
  <si>
    <t xml:space="preserve">Balanced Rig - Tank &amp; BCD size - Weight calculation </t>
  </si>
  <si>
    <t>Excel by benjamin@pannier.org</t>
  </si>
  <si>
    <t>Excel von benjamin@pannier.org</t>
  </si>
  <si>
    <r>
      <t xml:space="preserve">Bitte Daten eingeben/korregieren in </t>
    </r>
    <r>
      <rPr>
        <sz val="12"/>
        <color rgb="FFFF0000"/>
        <rFont val="Calibri"/>
        <family val="2"/>
        <scheme val="minor"/>
      </rPr>
      <t>roten</t>
    </r>
    <r>
      <rPr>
        <sz val="12"/>
        <color theme="1"/>
        <rFont val="Calibri"/>
        <family val="2"/>
        <scheme val="minor"/>
      </rPr>
      <t xml:space="preserve"> Feldern und Auswahlboxen:</t>
    </r>
  </si>
  <si>
    <t>bbblei</t>
  </si>
  <si>
    <t>(positive + and negative - bouyancy, see Box for examples)</t>
  </si>
  <si>
    <t>Equipment weight:</t>
  </si>
  <si>
    <t>Regulators:</t>
  </si>
  <si>
    <t>Torches:</t>
  </si>
  <si>
    <t>Anything else:</t>
  </si>
  <si>
    <t>Jacket/Wing size</t>
  </si>
  <si>
    <t>Maxim lift capacity:</t>
  </si>
  <si>
    <t>equal to</t>
  </si>
  <si>
    <t>Suite:</t>
  </si>
  <si>
    <t>Water:</t>
  </si>
  <si>
    <t>Tank(s):</t>
  </si>
  <si>
    <t>Size</t>
  </si>
  <si>
    <t>Actual filled with</t>
  </si>
  <si>
    <t>Tank weight:</t>
  </si>
  <si>
    <t>Empty</t>
  </si>
  <si>
    <t>Empty corrected</t>
  </si>
  <si>
    <t>Correction:</t>
  </si>
  <si>
    <t>(If the given weight does not correlate with actual weight of your tank(s), give a correction +- number)</t>
  </si>
  <si>
    <t>Tank gasvolume</t>
  </si>
  <si>
    <t>Weight:</t>
  </si>
  <si>
    <t>Gas usage / approximated max dive duration with actual gas filling</t>
  </si>
  <si>
    <t>SAC rate average</t>
  </si>
  <si>
    <t>Max depth in meters</t>
  </si>
  <si>
    <t>Time in minutes until tank is completely empty</t>
  </si>
  <si>
    <t>(10 meter/min descend - 9 meter/min ascend - 3 min safety stop - Reserve - BCD filling)</t>
  </si>
  <si>
    <t>Tank bouyancy:</t>
  </si>
  <si>
    <t>Bouyancy rig &amp; equipment without Weight but with suite:</t>
  </si>
  <si>
    <t>Weight minimum:</t>
  </si>
  <si>
    <t>Rounded:</t>
  </si>
  <si>
    <t>ddeeeble</t>
  </si>
  <si>
    <t>Bouyancy without suite with weight on rig and equipment</t>
  </si>
  <si>
    <t>Bouyancy value compared to BCD lift size</t>
  </si>
  <si>
    <t>Total bouyancy with suite, rig, equipment and weight</t>
  </si>
  <si>
    <t>Gas volume usage for BCD to create positive bouyancy without suite, with actual tank filling (+10%)</t>
  </si>
  <si>
    <t>Depth in meter</t>
  </si>
  <si>
    <t>Steel</t>
  </si>
  <si>
    <t>Aluminium</t>
  </si>
  <si>
    <t>Suite</t>
  </si>
  <si>
    <t>Extra weight to compensate drysuite filling</t>
  </si>
  <si>
    <t>Drysuite</t>
  </si>
  <si>
    <t>Wetsuite</t>
  </si>
  <si>
    <t>Density kg/l</t>
  </si>
  <si>
    <t>Fresh Water</t>
  </si>
  <si>
    <t>Salt Water</t>
  </si>
  <si>
    <t>Red Sea</t>
  </si>
  <si>
    <t>Atlantic/Bering/North Polar/Irish Sea</t>
  </si>
  <si>
    <t>Caspic Sea</t>
  </si>
  <si>
    <t xml:space="preserve">Mediterrianean Sea </t>
  </si>
  <si>
    <t>North Sea / Indian Ocean</t>
  </si>
  <si>
    <t>Baltic Sea</t>
  </si>
  <si>
    <t>Pacific</t>
  </si>
  <si>
    <t>Persian Gulf</t>
  </si>
  <si>
    <t>Black Sea</t>
  </si>
  <si>
    <t>Death Sea</t>
  </si>
  <si>
    <t>Tank selection</t>
  </si>
  <si>
    <t>Single</t>
  </si>
  <si>
    <t>Twin</t>
  </si>
  <si>
    <t>Maximal pressure</t>
  </si>
  <si>
    <t>Steel weight</t>
  </si>
  <si>
    <t>Aluminium weight</t>
  </si>
  <si>
    <t>Size in liter</t>
  </si>
  <si>
    <t>Van der Waals force compensation</t>
  </si>
  <si>
    <t>Factor</t>
  </si>
  <si>
    <t>Weight of Air</t>
  </si>
  <si>
    <t>Selections</t>
  </si>
  <si>
    <t>Value</t>
  </si>
  <si>
    <t>Material Tank</t>
  </si>
  <si>
    <t>Water salt data</t>
  </si>
  <si>
    <t>Amount</t>
  </si>
  <si>
    <t>Tanktype, Bar full</t>
  </si>
  <si>
    <t>Weight tank + everything</t>
  </si>
  <si>
    <t>Weight tank corrected</t>
  </si>
  <si>
    <t>Actual bar in tank</t>
  </si>
  <si>
    <t>Van der Waals force compensation, actual</t>
  </si>
  <si>
    <t>Van der Waals force compensation, full</t>
  </si>
  <si>
    <t>Suite type, extra weight</t>
  </si>
  <si>
    <t>Calculations</t>
  </si>
  <si>
    <t>Tank liter</t>
  </si>
  <si>
    <t>Volume tank (material)</t>
  </si>
  <si>
    <t>Volume tank (material+content)</t>
  </si>
  <si>
    <t>Bouyancy of tank material</t>
  </si>
  <si>
    <t>Bouyancy of empty tank</t>
  </si>
  <si>
    <t>Content of tank, full</t>
  </si>
  <si>
    <t>Content weight, full</t>
  </si>
  <si>
    <t>Content of tank, actual</t>
  </si>
  <si>
    <t>Content weight, actual</t>
  </si>
  <si>
    <t>Bouyancy of full tank</t>
  </si>
  <si>
    <t>Bouyancy of tank with current filling</t>
  </si>
  <si>
    <t>Size of reserve (50bar)</t>
  </si>
  <si>
    <t>How much would be the perfect weight</t>
  </si>
  <si>
    <t>CAUTION! Given times are just approximated and you have to do a real dive planning!</t>
  </si>
  <si>
    <t>Minimal needed bouyancy in BCD if suite does not create any bouyancy</t>
  </si>
  <si>
    <t>Voll</t>
  </si>
  <si>
    <t>Full</t>
  </si>
  <si>
    <t>Aktuell mit</t>
  </si>
  <si>
    <t>Actual with</t>
  </si>
  <si>
    <t>für Luft im Trocki</t>
  </si>
  <si>
    <t>for drysuite filling</t>
  </si>
  <si>
    <t>Perfekt be-blei-t!</t>
  </si>
  <si>
    <t>Perfectly weighted!</t>
  </si>
  <si>
    <t>OK be-blei-t!</t>
  </si>
  <si>
    <t>Ok weighted!</t>
  </si>
  <si>
    <t>WARNUNG: Über-blei-t!</t>
  </si>
  <si>
    <t>WARNING: Too much weight!</t>
  </si>
  <si>
    <t>Blei anhand des Auftriebs mit leeren Flaschen, Anzug, Ausrüstung und extra Blei</t>
  </si>
  <si>
    <t>Weight calculated for bouyancy with empty tanks, suite, rig, equipment and extra weight</t>
  </si>
  <si>
    <t>Tripple</t>
  </si>
  <si>
    <t>Quartett</t>
  </si>
  <si>
    <t>WARNUNG: Auftrieb/Jacket/Wing ist zu klein, Gerät geht an Wasseroberfläche unter, Problem bei volllaufen des Trocken-Anzugs bzw bei Neoprenanzug in der Tiefe</t>
  </si>
  <si>
    <t>WARNUNG: Jacket-Wing ist viel zu groß!</t>
  </si>
  <si>
    <t>Auftrieb (Jacket-Winggröße) ist ok - Abtrieb &lt; Auftrieb von Jacket/Wing</t>
  </si>
  <si>
    <t>WARNING: BCD lift size is too small, rig will not swim on the surface and you will have problem if the drysuite get flooded, anyway with a wetsuite there is always too less lift size in the depth</t>
  </si>
  <si>
    <t>WARNING: Wing size is too big!</t>
  </si>
  <si>
    <t>BCD size is good - Lift size is &gt; negative bouyancy</t>
  </si>
  <si>
    <t>V1.1</t>
  </si>
  <si>
    <t xml:space="preserve">Zugelassen bis max </t>
  </si>
  <si>
    <t>Admitted for max</t>
  </si>
  <si>
    <t>Creates positive bouyancy:</t>
  </si>
  <si>
    <r>
      <t xml:space="preserve">Please, enter/correct data in </t>
    </r>
    <r>
      <rPr>
        <sz val="12"/>
        <color rgb="FFFF0000"/>
        <rFont val="Calibri"/>
        <family val="2"/>
        <scheme val="minor"/>
      </rPr>
      <t>red</t>
    </r>
    <r>
      <rPr>
        <sz val="12"/>
        <color theme="1"/>
        <rFont val="Calibri"/>
        <family val="2"/>
        <scheme val="minor"/>
      </rPr>
      <t xml:space="preserve"> fields and dropdown selections: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</si>
</sst>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 ;[Red]\-0\ "/>
  </numFmts>
  <fonts count="8"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6"/>
      <color theme="1"/>
      <name val="Calibri"/>
      <scheme val="minor"/>
    </font>
    <font>
      <sz val="12"/>
      <color rgb="FFFF0000"/>
      <name val="Calibri"/>
      <family val="2"/>
      <scheme val="minor"/>
    </font>
    <font>
      <sz val="12"/>
      <color rgb="FF000000"/>
      <name val="Calibri"/>
      <scheme val="minor"/>
    </font>
    <font>
      <b/>
      <sz val="18"/>
      <color theme="1"/>
      <name val="Calibri"/>
      <scheme val="minor"/>
    </font>
  </fonts>
  <fills count="4">
    <fill>
      <patternFill patternType="none"/>
    </fill>
    <fill>
      <patternFill patternType="gray125"/>
    </fill>
    <fill>
      <patternFill patternType="solid">
        <fgColor theme="5" tint="0.79998168889431442"/>
        <bgColor indexed="64"/>
      </patternFill>
    </fill>
    <fill>
      <patternFill patternType="solid">
        <fgColor rgb="FFCCFFCC"/>
        <bgColor indexed="64"/>
      </patternFill>
    </fill>
  </fills>
  <borders count="9">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8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0" fontId="1" fillId="0" borderId="0" xfId="0" applyFont="1"/>
    <xf numFmtId="0" fontId="0" fillId="0" borderId="0" xfId="0" applyFill="1"/>
    <xf numFmtId="0" fontId="0" fillId="2" borderId="0" xfId="0" applyFill="1"/>
    <xf numFmtId="3" fontId="0" fillId="0" borderId="0" xfId="0" applyNumberFormat="1"/>
    <xf numFmtId="164" fontId="0" fillId="0" borderId="0" xfId="0" applyNumberFormat="1"/>
    <xf numFmtId="0" fontId="0" fillId="0" borderId="0" xfId="0" applyAlignment="1">
      <alignment horizontal="right"/>
    </xf>
    <xf numFmtId="0" fontId="0" fillId="0" borderId="0" xfId="0" applyAlignment="1">
      <alignment horizontal="left"/>
    </xf>
    <xf numFmtId="165" fontId="0" fillId="0" borderId="5" xfId="0" applyNumberFormat="1" applyBorder="1"/>
    <xf numFmtId="165" fontId="0" fillId="0" borderId="4" xfId="0" applyNumberFormat="1" applyBorder="1"/>
    <xf numFmtId="0" fontId="1" fillId="0" borderId="1" xfId="0" applyFont="1" applyBorder="1"/>
    <xf numFmtId="0" fontId="0" fillId="0" borderId="1" xfId="0" applyBorder="1"/>
    <xf numFmtId="0" fontId="0" fillId="0" borderId="0" xfId="0" applyFont="1"/>
    <xf numFmtId="0" fontId="0" fillId="0" borderId="0" xfId="0" applyBorder="1" applyAlignment="1">
      <alignment horizontal="left"/>
    </xf>
    <xf numFmtId="0" fontId="4" fillId="0" borderId="0" xfId="0" applyFont="1"/>
    <xf numFmtId="2" fontId="0" fillId="0" borderId="0" xfId="0" applyNumberFormat="1"/>
    <xf numFmtId="1" fontId="1" fillId="0" borderId="2" xfId="0" applyNumberFormat="1" applyFont="1" applyBorder="1" applyAlignment="1">
      <alignment horizontal="right"/>
    </xf>
    <xf numFmtId="1" fontId="1" fillId="0" borderId="3" xfId="0" applyNumberFormat="1" applyFont="1" applyBorder="1" applyAlignment="1">
      <alignment horizontal="right"/>
    </xf>
    <xf numFmtId="2" fontId="0" fillId="0" borderId="0" xfId="0" applyNumberFormat="1" applyFill="1"/>
    <xf numFmtId="0" fontId="0" fillId="0" borderId="0" xfId="0" applyBorder="1"/>
    <xf numFmtId="1" fontId="1" fillId="0" borderId="7" xfId="0" applyNumberFormat="1" applyFont="1" applyBorder="1" applyAlignment="1">
      <alignment horizontal="right"/>
    </xf>
    <xf numFmtId="165" fontId="0" fillId="0" borderId="8" xfId="0" applyNumberFormat="1" applyBorder="1"/>
    <xf numFmtId="1" fontId="1" fillId="0" borderId="0" xfId="0" applyNumberFormat="1" applyFont="1"/>
    <xf numFmtId="0" fontId="0" fillId="0" borderId="4" xfId="0" applyFont="1" applyBorder="1"/>
    <xf numFmtId="0" fontId="0" fillId="0" borderId="5" xfId="0" applyFont="1" applyBorder="1"/>
    <xf numFmtId="49" fontId="0" fillId="0" borderId="0" xfId="0" applyNumberFormat="1" applyFont="1" applyAlignment="1">
      <alignment wrapText="1"/>
    </xf>
    <xf numFmtId="49" fontId="0" fillId="0" borderId="0" xfId="0" applyNumberFormat="1"/>
    <xf numFmtId="49" fontId="0" fillId="0" borderId="0" xfId="0" applyNumberFormat="1" applyAlignment="1">
      <alignment wrapText="1"/>
    </xf>
    <xf numFmtId="49" fontId="1" fillId="0" borderId="0" xfId="0" applyNumberFormat="1" applyFont="1"/>
    <xf numFmtId="49" fontId="1" fillId="0" borderId="0" xfId="0" applyNumberFormat="1" applyFont="1" applyAlignment="1">
      <alignment wrapText="1"/>
    </xf>
    <xf numFmtId="49" fontId="0" fillId="0" borderId="0" xfId="0" applyNumberFormat="1" applyFont="1"/>
    <xf numFmtId="49" fontId="0" fillId="0" borderId="0" xfId="0" applyNumberFormat="1" applyAlignment="1">
      <alignment horizontal="left"/>
    </xf>
    <xf numFmtId="49" fontId="0" fillId="0" borderId="0" xfId="0" applyNumberFormat="1" applyBorder="1" applyAlignment="1">
      <alignment horizontal="right"/>
    </xf>
    <xf numFmtId="49" fontId="0" fillId="0" borderId="0" xfId="0" applyNumberFormat="1" applyFill="1" applyAlignment="1">
      <alignment horizontal="right"/>
    </xf>
    <xf numFmtId="49" fontId="0" fillId="0" borderId="0" xfId="0" applyNumberFormat="1" applyBorder="1"/>
    <xf numFmtId="49" fontId="0" fillId="0" borderId="0" xfId="0" applyNumberFormat="1" applyFont="1" applyBorder="1" applyAlignment="1">
      <alignment wrapText="1"/>
    </xf>
    <xf numFmtId="49" fontId="1" fillId="0" borderId="1" xfId="0" applyNumberFormat="1" applyFont="1" applyBorder="1"/>
    <xf numFmtId="49" fontId="0" fillId="0" borderId="1" xfId="0" applyNumberFormat="1" applyBorder="1"/>
    <xf numFmtId="49" fontId="1" fillId="0" borderId="6" xfId="0" applyNumberFormat="1" applyFont="1" applyBorder="1" applyAlignment="1">
      <alignment horizontal="right"/>
    </xf>
    <xf numFmtId="49" fontId="0" fillId="0" borderId="0" xfId="0" applyNumberFormat="1" applyFont="1" applyFill="1" applyBorder="1"/>
    <xf numFmtId="49" fontId="0" fillId="0" borderId="0" xfId="0" applyNumberFormat="1" applyBorder="1" applyAlignment="1">
      <alignment wrapText="1"/>
    </xf>
    <xf numFmtId="49" fontId="0" fillId="0" borderId="0" xfId="0" applyNumberFormat="1" applyFont="1" applyFill="1" applyBorder="1" applyAlignment="1">
      <alignment wrapText="1"/>
    </xf>
    <xf numFmtId="0" fontId="1" fillId="3" borderId="0" xfId="0" applyFont="1" applyFill="1"/>
    <xf numFmtId="49" fontId="6" fillId="0" borderId="0" xfId="0" applyNumberFormat="1" applyFont="1" applyAlignment="1">
      <alignment wrapText="1"/>
    </xf>
    <xf numFmtId="0" fontId="1" fillId="0" borderId="0" xfId="0" applyFont="1" applyAlignment="1">
      <alignment horizontal="left"/>
    </xf>
    <xf numFmtId="49" fontId="7" fillId="0" borderId="0" xfId="0" applyNumberFormat="1" applyFont="1"/>
  </cellXfs>
  <cellStyles count="287">
    <cellStyle name="Besuchter Link" xfId="2" builtinId="9" hidden="1"/>
    <cellStyle name="Besuchter Link" xfId="4" builtinId="9" hidden="1"/>
    <cellStyle name="Besuchter Link" xfId="6" builtinId="9" hidden="1"/>
    <cellStyle name="Besuchter Link" xfId="8" builtinId="9" hidden="1"/>
    <cellStyle name="Besuchter Link" xfId="10" builtinId="9" hidden="1"/>
    <cellStyle name="Besuchter Link" xfId="12" builtinId="9" hidden="1"/>
    <cellStyle name="Besuchter Link" xfId="14" builtinId="9" hidden="1"/>
    <cellStyle name="Besuchter Link" xfId="16" builtinId="9" hidden="1"/>
    <cellStyle name="Besuchter Link" xfId="18" builtinId="9" hidden="1"/>
    <cellStyle name="Besuchter Link" xfId="20" builtinId="9" hidden="1"/>
    <cellStyle name="Besuchter Link" xfId="22" builtinId="9" hidden="1"/>
    <cellStyle name="Besuchter Link" xfId="24" builtinId="9" hidden="1"/>
    <cellStyle name="Besuchter Link" xfId="26" builtinId="9" hidden="1"/>
    <cellStyle name="Besuchter Link" xfId="28" builtinId="9" hidden="1"/>
    <cellStyle name="Besuchter Link" xfId="30" builtinId="9" hidden="1"/>
    <cellStyle name="Besuchter Link" xfId="32" builtinId="9" hidden="1"/>
    <cellStyle name="Besuchter Link" xfId="34" builtinId="9" hidden="1"/>
    <cellStyle name="Besuchter Link" xfId="36" builtinId="9" hidden="1"/>
    <cellStyle name="Besuchter Link" xfId="38" builtinId="9" hidden="1"/>
    <cellStyle name="Besuchter Link" xfId="40" builtinId="9" hidden="1"/>
    <cellStyle name="Besuchter Link" xfId="42" builtinId="9" hidden="1"/>
    <cellStyle name="Besuchter Link" xfId="44" builtinId="9" hidden="1"/>
    <cellStyle name="Besuchter Link" xfId="46" builtinId="9" hidden="1"/>
    <cellStyle name="Besuchter Link" xfId="48" builtinId="9" hidden="1"/>
    <cellStyle name="Besuchter Link" xfId="50" builtinId="9" hidden="1"/>
    <cellStyle name="Besuchter Link" xfId="52" builtinId="9" hidden="1"/>
    <cellStyle name="Besuchter Link" xfId="54" builtinId="9" hidden="1"/>
    <cellStyle name="Besuchter Link" xfId="56" builtinId="9" hidden="1"/>
    <cellStyle name="Besuchter Link" xfId="58" builtinId="9" hidden="1"/>
    <cellStyle name="Besuchter Link" xfId="60" builtinId="9" hidden="1"/>
    <cellStyle name="Besuchter Link" xfId="62" builtinId="9" hidden="1"/>
    <cellStyle name="Besuchter Link" xfId="64" builtinId="9" hidden="1"/>
    <cellStyle name="Besuchter Link" xfId="66" builtinId="9" hidden="1"/>
    <cellStyle name="Besuchter Link" xfId="68" builtinId="9" hidden="1"/>
    <cellStyle name="Besuchter Link" xfId="70" builtinId="9" hidden="1"/>
    <cellStyle name="Besuchter Link" xfId="72" builtinId="9" hidden="1"/>
    <cellStyle name="Besuchter Link" xfId="74" builtinId="9" hidden="1"/>
    <cellStyle name="Besuchter Link" xfId="76" builtinId="9" hidden="1"/>
    <cellStyle name="Besuchter Link" xfId="78" builtinId="9" hidden="1"/>
    <cellStyle name="Besuchter Link" xfId="80" builtinId="9" hidden="1"/>
    <cellStyle name="Besuchter Link" xfId="82" builtinId="9" hidden="1"/>
    <cellStyle name="Besuchter Link" xfId="84" builtinId="9" hidden="1"/>
    <cellStyle name="Besuchter Link" xfId="86" builtinId="9" hidden="1"/>
    <cellStyle name="Besuchter Link" xfId="88" builtinId="9" hidden="1"/>
    <cellStyle name="Besuchter Link" xfId="90" builtinId="9" hidden="1"/>
    <cellStyle name="Besuchter Link" xfId="92" builtinId="9" hidden="1"/>
    <cellStyle name="Besuchter Link" xfId="94" builtinId="9" hidden="1"/>
    <cellStyle name="Besuchter Link" xfId="96" builtinId="9" hidden="1"/>
    <cellStyle name="Besuchter Link" xfId="98" builtinId="9" hidden="1"/>
    <cellStyle name="Besuchter Link" xfId="100" builtinId="9" hidden="1"/>
    <cellStyle name="Besuchter Link" xfId="102" builtinId="9" hidden="1"/>
    <cellStyle name="Besuchter Link" xfId="104" builtinId="9" hidden="1"/>
    <cellStyle name="Besuchter Link" xfId="106" builtinId="9" hidden="1"/>
    <cellStyle name="Besuchter Link" xfId="108" builtinId="9" hidden="1"/>
    <cellStyle name="Besuchter Link" xfId="110" builtinId="9" hidden="1"/>
    <cellStyle name="Besuchter Link" xfId="112" builtinId="9" hidden="1"/>
    <cellStyle name="Besuchter Link" xfId="114" builtinId="9" hidden="1"/>
    <cellStyle name="Besuchter Link" xfId="116" builtinId="9" hidden="1"/>
    <cellStyle name="Besuchter Link" xfId="118" builtinId="9" hidden="1"/>
    <cellStyle name="Besuchter Link" xfId="120" builtinId="9" hidden="1"/>
    <cellStyle name="Besuchter Link" xfId="122" builtinId="9" hidden="1"/>
    <cellStyle name="Besuchter Link" xfId="124" builtinId="9" hidden="1"/>
    <cellStyle name="Besuchter Link" xfId="126" builtinId="9" hidden="1"/>
    <cellStyle name="Besuchter Link" xfId="128" builtinId="9" hidden="1"/>
    <cellStyle name="Besuchter Link" xfId="130" builtinId="9" hidden="1"/>
    <cellStyle name="Besuchter Link" xfId="132" builtinId="9" hidden="1"/>
    <cellStyle name="Besuchter Link" xfId="134" builtinId="9" hidden="1"/>
    <cellStyle name="Besuchter Link" xfId="136" builtinId="9" hidden="1"/>
    <cellStyle name="Besuchter Link" xfId="138" builtinId="9" hidden="1"/>
    <cellStyle name="Besuchter Link" xfId="140" builtinId="9" hidden="1"/>
    <cellStyle name="Besuchter Link" xfId="142" builtinId="9" hidden="1"/>
    <cellStyle name="Besuchter Link" xfId="144" builtinId="9" hidden="1"/>
    <cellStyle name="Besuchter Link" xfId="146" builtinId="9" hidden="1"/>
    <cellStyle name="Besuchter Link" xfId="148" builtinId="9" hidden="1"/>
    <cellStyle name="Besuchter Link" xfId="150" builtinId="9" hidden="1"/>
    <cellStyle name="Besuchter Link" xfId="152" builtinId="9" hidden="1"/>
    <cellStyle name="Besuchter Link" xfId="154" builtinId="9" hidden="1"/>
    <cellStyle name="Besuchter Link" xfId="156" builtinId="9" hidden="1"/>
    <cellStyle name="Besuchter Link" xfId="158" builtinId="9" hidden="1"/>
    <cellStyle name="Besuchter Link" xfId="160" builtinId="9" hidden="1"/>
    <cellStyle name="Besuchter Link" xfId="162" builtinId="9" hidden="1"/>
    <cellStyle name="Besuchter Link" xfId="164" builtinId="9" hidden="1"/>
    <cellStyle name="Besuchter Link" xfId="166" builtinId="9" hidden="1"/>
    <cellStyle name="Besuchter Link" xfId="168" builtinId="9" hidden="1"/>
    <cellStyle name="Besuchter Link" xfId="170" builtinId="9" hidden="1"/>
    <cellStyle name="Besuchter Link" xfId="172" builtinId="9" hidden="1"/>
    <cellStyle name="Besuchter Link" xfId="174" builtinId="9" hidden="1"/>
    <cellStyle name="Besuchter Link" xfId="176" builtinId="9" hidden="1"/>
    <cellStyle name="Besuchter Link" xfId="178" builtinId="9" hidden="1"/>
    <cellStyle name="Besuchter Link" xfId="180" builtinId="9" hidden="1"/>
    <cellStyle name="Besuchter Link" xfId="182" builtinId="9" hidden="1"/>
    <cellStyle name="Besuchter Link" xfId="184" builtinId="9" hidden="1"/>
    <cellStyle name="Besuchter Link" xfId="186" builtinId="9" hidden="1"/>
    <cellStyle name="Besuchter Link" xfId="188" builtinId="9" hidden="1"/>
    <cellStyle name="Besuchter Link" xfId="190" builtinId="9" hidden="1"/>
    <cellStyle name="Besuchter Link" xfId="192" builtinId="9" hidden="1"/>
    <cellStyle name="Besuchter Link" xfId="194" builtinId="9" hidden="1"/>
    <cellStyle name="Besuchter Link" xfId="196" builtinId="9" hidden="1"/>
    <cellStyle name="Besuchter Link" xfId="198" builtinId="9" hidden="1"/>
    <cellStyle name="Besuchter Link" xfId="200" builtinId="9" hidden="1"/>
    <cellStyle name="Besuchter Link" xfId="202" builtinId="9" hidden="1"/>
    <cellStyle name="Besuchter Link" xfId="204" builtinId="9" hidden="1"/>
    <cellStyle name="Besuchter Link" xfId="206" builtinId="9" hidden="1"/>
    <cellStyle name="Besuchter Link" xfId="208" builtinId="9" hidden="1"/>
    <cellStyle name="Besuchter Link" xfId="210" builtinId="9" hidden="1"/>
    <cellStyle name="Besuchter Link" xfId="212" builtinId="9" hidden="1"/>
    <cellStyle name="Besuchter Link" xfId="214" builtinId="9" hidden="1"/>
    <cellStyle name="Besuchter Link" xfId="216" builtinId="9" hidden="1"/>
    <cellStyle name="Besuchter Link" xfId="218" builtinId="9" hidden="1"/>
    <cellStyle name="Besuchter Link" xfId="220" builtinId="9" hidden="1"/>
    <cellStyle name="Besuchter Link" xfId="222" builtinId="9" hidden="1"/>
    <cellStyle name="Besuchter Link" xfId="224" builtinId="9" hidden="1"/>
    <cellStyle name="Besuchter Link" xfId="226" builtinId="9" hidden="1"/>
    <cellStyle name="Besuchter Link" xfId="228" builtinId="9" hidden="1"/>
    <cellStyle name="Besuchter Link" xfId="230" builtinId="9" hidden="1"/>
    <cellStyle name="Besuchter Link" xfId="232" builtinId="9" hidden="1"/>
    <cellStyle name="Besuchter Link" xfId="234" builtinId="9" hidden="1"/>
    <cellStyle name="Besuchter Link" xfId="236" builtinId="9" hidden="1"/>
    <cellStyle name="Besuchter Link" xfId="238" builtinId="9" hidden="1"/>
    <cellStyle name="Besuchter Link" xfId="240" builtinId="9" hidden="1"/>
    <cellStyle name="Besuchter Link" xfId="242" builtinId="9" hidden="1"/>
    <cellStyle name="Besuchter Link" xfId="244" builtinId="9" hidden="1"/>
    <cellStyle name="Besuchter Link" xfId="246" builtinId="9" hidden="1"/>
    <cellStyle name="Besuchter Link" xfId="248" builtinId="9" hidden="1"/>
    <cellStyle name="Besuchter Link" xfId="250" builtinId="9" hidden="1"/>
    <cellStyle name="Besuchter Link" xfId="252" builtinId="9" hidden="1"/>
    <cellStyle name="Besuchter Link" xfId="254" builtinId="9" hidden="1"/>
    <cellStyle name="Besuchter Link" xfId="256" builtinId="9" hidden="1"/>
    <cellStyle name="Besuchter Link" xfId="258" builtinId="9" hidden="1"/>
    <cellStyle name="Besuchter Link" xfId="260" builtinId="9" hidden="1"/>
    <cellStyle name="Besuchter Link" xfId="262" builtinId="9" hidden="1"/>
    <cellStyle name="Besuchter Link" xfId="264" builtinId="9" hidden="1"/>
    <cellStyle name="Besuchter Link" xfId="266" builtinId="9" hidden="1"/>
    <cellStyle name="Besuchter Link" xfId="268" builtinId="9" hidden="1"/>
    <cellStyle name="Besuchter Link" xfId="270" builtinId="9" hidden="1"/>
    <cellStyle name="Besuchter Link" xfId="272" builtinId="9" hidden="1"/>
    <cellStyle name="Besuchter Link" xfId="274" builtinId="9" hidden="1"/>
    <cellStyle name="Besuchter Link" xfId="276" builtinId="9" hidden="1"/>
    <cellStyle name="Besuchter Link" xfId="278" builtinId="9" hidden="1"/>
    <cellStyle name="Besuchter Link" xfId="280" builtinId="9" hidden="1"/>
    <cellStyle name="Besuchter Link" xfId="282" builtinId="9" hidden="1"/>
    <cellStyle name="Besuchter Link" xfId="284" builtinId="9" hidden="1"/>
    <cellStyle name="Besuchter Link" xfId="28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Standard" xfId="0" builtinId="0"/>
  </cellStyles>
  <dxfs count="2">
    <dxf>
      <font>
        <color rgb="FF9C0006"/>
      </font>
      <fill>
        <patternFill>
          <bgColor rgb="FFFFC7CE"/>
        </patternFill>
      </fill>
    </dxf>
    <dxf>
      <font>
        <b/>
        <i val="0"/>
        <u/>
        <color theme="0"/>
      </font>
      <fill>
        <patternFill patternType="solid">
          <fgColor indexed="64"/>
          <bgColor rgb="FFFF0000"/>
        </patternFill>
      </fill>
      <border>
        <left style="thin">
          <color rgb="FF9C0006"/>
        </left>
        <right style="thin">
          <color rgb="FF9C0006"/>
        </right>
        <top style="thin">
          <color rgb="FF9C0006"/>
        </top>
        <bottom style="thin">
          <color rgb="FF9C0006"/>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Drop" dropLines="95" dropStyle="combo" dx="16" fmlaLink="Data!$B$66" fmlaRange="Data!$A$3:$A$4" sel="2" val="0"/>
</file>

<file path=xl/ctrlProps/ctrlProp2.xml><?xml version="1.0" encoding="utf-8"?>
<formControlPr xmlns="http://schemas.microsoft.com/office/spreadsheetml/2009/9/main" objectType="Drop" dropLines="95" dropStyle="combo" dx="16" fmlaLink="Data!$B$69" fmlaRange="Data!$A$38:$A$50" sel="11" val="0"/>
</file>

<file path=xl/ctrlProps/ctrlProp3.xml><?xml version="1.0" encoding="utf-8"?>
<formControlPr xmlns="http://schemas.microsoft.com/office/spreadsheetml/2009/9/main" objectType="Drop" dropLines="95" dropStyle="combo" dx="16" fmlaLink="Data!$B$67" fmlaRange="Data!$A$11:$A$22" sel="3" val="0"/>
</file>

<file path=xl/ctrlProps/ctrlProp4.xml><?xml version="1.0" encoding="utf-8"?>
<formControlPr xmlns="http://schemas.microsoft.com/office/spreadsheetml/2009/9/main" objectType="Drop" dropLines="95" dropStyle="combo" dx="16" fmlaLink="Data!$B$76" fmlaRange="Data!$A$7:$A$8" val="0"/>
</file>

<file path=xl/ctrlProps/ctrlProp5.xml><?xml version="1.0" encoding="utf-8"?>
<formControlPr xmlns="http://schemas.microsoft.com/office/spreadsheetml/2009/9/main" objectType="Drop" dropLines="95" dropStyle="combo" dx="16" fmlaLink="Text!$B$6" fmlaRange="Text!$B$2:$B$3" sel="2" val="0"/>
</file>

<file path=xl/ctrlProps/ctrlProp6.xml><?xml version="1.0" encoding="utf-8"?>
<formControlPr xmlns="http://schemas.microsoft.com/office/spreadsheetml/2009/9/main" objectType="Drop" dropLines="95" dropStyle="combo" dx="16" fmlaLink="Data!$B$73" fmlaRange="Data!$A$54:$A$61" sel="2" val="0"/>
</file>

<file path=xl/ctrlProps/ctrlProp7.xml><?xml version="1.0" encoding="utf-8"?>
<formControlPr xmlns="http://schemas.microsoft.com/office/spreadsheetml/2009/9/main" objectType="Drop" dropLines="95" dropStyle="combo" dx="16" fmlaLink="Data!$B$70" fmlaRange="Data!$A$32:$A$34" val="0"/>
</file>

<file path=xl/ctrlProps/ctrlProp8.xml><?xml version="1.0" encoding="utf-8"?>
<formControlPr xmlns="http://schemas.microsoft.com/office/spreadsheetml/2009/9/main" objectType="Drop" dropLines="95" dropStyle="combo" dx="16" fmlaLink="Data!$B$68" fmlaRange="Data!$A$26:$A$29"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2324100</xdr:colOff>
          <xdr:row>52</xdr:row>
          <xdr:rowOff>0</xdr:rowOff>
        </xdr:from>
        <xdr:to>
          <xdr:col>2</xdr:col>
          <xdr:colOff>177800</xdr:colOff>
          <xdr:row>53</xdr:row>
          <xdr:rowOff>50800</xdr:rowOff>
        </xdr:to>
        <xdr:sp macro="" textlink="">
          <xdr:nvSpPr>
            <xdr:cNvPr id="1027" name="Drop Down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53</xdr:row>
          <xdr:rowOff>177800</xdr:rowOff>
        </xdr:from>
        <xdr:to>
          <xdr:col>2</xdr:col>
          <xdr:colOff>152400</xdr:colOff>
          <xdr:row>55</xdr:row>
          <xdr:rowOff>38100</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56</xdr:row>
          <xdr:rowOff>0</xdr:rowOff>
        </xdr:from>
        <xdr:to>
          <xdr:col>2</xdr:col>
          <xdr:colOff>152400</xdr:colOff>
          <xdr:row>57</xdr:row>
          <xdr:rowOff>50800</xdr:rowOff>
        </xdr:to>
        <xdr:sp macro="" textlink="">
          <xdr:nvSpPr>
            <xdr:cNvPr id="1029" name="Drop Down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49</xdr:row>
          <xdr:rowOff>0</xdr:rowOff>
        </xdr:from>
        <xdr:to>
          <xdr:col>3</xdr:col>
          <xdr:colOff>406400</xdr:colOff>
          <xdr:row>50</xdr:row>
          <xdr:rowOff>50800</xdr:rowOff>
        </xdr:to>
        <xdr:sp macro="" textlink="">
          <xdr:nvSpPr>
            <xdr:cNvPr id="1041" name="Drop Down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xdr:twoCellAnchor>
    <xdr:from>
      <xdr:col>12</xdr:col>
      <xdr:colOff>457200</xdr:colOff>
      <xdr:row>33</xdr:row>
      <xdr:rowOff>177800</xdr:rowOff>
    </xdr:from>
    <xdr:to>
      <xdr:col>16</xdr:col>
      <xdr:colOff>749300</xdr:colOff>
      <xdr:row>62</xdr:row>
      <xdr:rowOff>127000</xdr:rowOff>
    </xdr:to>
    <xdr:sp macro="" textlink="">
      <xdr:nvSpPr>
        <xdr:cNvPr id="2" name="Textfeld 1"/>
        <xdr:cNvSpPr txBox="1"/>
      </xdr:nvSpPr>
      <xdr:spPr>
        <a:xfrm>
          <a:off x="10350500" y="4622800"/>
          <a:ext cx="3276600" cy="5473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Gewicht</a:t>
          </a:r>
          <a:r>
            <a:rPr lang="de-DE" sz="1100" b="0" baseline="0"/>
            <a:t> (geschätzt):</a:t>
          </a:r>
        </a:p>
        <a:p>
          <a:r>
            <a:rPr lang="de-DE" sz="1100" b="0" baseline="0"/>
            <a:t>ADV Jacket: -3 - -4kg </a:t>
          </a:r>
        </a:p>
        <a:p>
          <a:r>
            <a:rPr lang="de-DE" sz="1100" b="0" baseline="0"/>
            <a:t>Backplate:  Stahl -3kg,  Alu -1 kg</a:t>
          </a:r>
        </a:p>
        <a:p>
          <a:r>
            <a:rPr lang="de-DE" sz="1100" b="0" baseline="0"/>
            <a:t>Automat (1+2 Stufe): -2 - -3kg</a:t>
          </a:r>
        </a:p>
        <a:p>
          <a:r>
            <a:rPr lang="de-DE" sz="1100" b="0" baseline="0"/>
            <a:t>Lampe: -0,5kg - -4kg</a:t>
          </a:r>
        </a:p>
        <a:p>
          <a:r>
            <a:rPr lang="de-DE" sz="1100" b="0" baseline="0"/>
            <a:t>Floßen: </a:t>
          </a:r>
          <a:endParaRPr lang="de-DE" sz="1100" b="1"/>
        </a:p>
        <a:p>
          <a:endParaRPr lang="de-DE" sz="1100" b="1"/>
        </a:p>
        <a:p>
          <a:r>
            <a:rPr lang="de-DE" sz="1100" b="1"/>
            <a:t>Jacket/Wing Auftrieb</a:t>
          </a:r>
          <a:r>
            <a:rPr lang="de-DE" sz="1100" b="0"/>
            <a:t> (geschätzt):</a:t>
          </a:r>
        </a:p>
        <a:p>
          <a:r>
            <a:rPr lang="de-DE" sz="1100" b="0"/>
            <a:t>ADV Jacket: XS 9kg,</a:t>
          </a:r>
          <a:r>
            <a:rPr lang="de-DE" sz="1100" b="0" baseline="0"/>
            <a:t> S 13kg, M 14kg, L 16kg, XL 19kg</a:t>
          </a:r>
        </a:p>
        <a:p>
          <a:r>
            <a:rPr lang="de-DE" sz="1100" b="0" baseline="0"/>
            <a:t>30 Wing: 13,62 kg</a:t>
          </a:r>
          <a:endParaRPr lang="de-DE" sz="1100" b="0"/>
        </a:p>
        <a:p>
          <a:r>
            <a:rPr lang="de-DE" sz="1100" b="0"/>
            <a:t>40 Wing: 18,16kg</a:t>
          </a:r>
        </a:p>
        <a:p>
          <a:r>
            <a:rPr lang="de-DE" sz="1100" b="0"/>
            <a:t>60 Wing: 27,24kg</a:t>
          </a:r>
          <a:endParaRPr lang="de-DE" sz="1100" b="1"/>
        </a:p>
        <a:p>
          <a:endParaRPr lang="de-DE" sz="1100" b="1"/>
        </a:p>
        <a:p>
          <a:r>
            <a:rPr lang="de-DE" sz="1100" b="1"/>
            <a:t>Anzüge Auftrieb</a:t>
          </a:r>
          <a:r>
            <a:rPr lang="de-DE" sz="1100" b="1" baseline="0"/>
            <a:t> </a:t>
          </a:r>
          <a:r>
            <a:rPr lang="de-DE" sz="1100" baseline="0"/>
            <a:t>(geschätzt):</a:t>
          </a:r>
        </a:p>
        <a:p>
          <a:r>
            <a:rPr lang="de-DE" sz="1100" baseline="0"/>
            <a:t>Naß 7mm Neopren: 7kg - 9kg</a:t>
          </a:r>
        </a:p>
        <a:p>
          <a:r>
            <a:rPr lang="de-DE" sz="1100" baseline="0"/>
            <a:t>Naß 5mm Neopren: 5kg - 7kg</a:t>
          </a:r>
        </a:p>
        <a:p>
          <a:r>
            <a:rPr lang="de-DE" sz="1100" baseline="0"/>
            <a:t>Naß 3mm Neopren: 3kg - 5kg</a:t>
          </a:r>
        </a:p>
        <a:p>
          <a:endParaRPr lang="de-DE" sz="1100" baseline="0"/>
        </a:p>
        <a:p>
          <a:r>
            <a:rPr lang="de-DE" sz="1100" baseline="0"/>
            <a:t>Neopren Füßlinge: 1kg</a:t>
          </a:r>
        </a:p>
        <a:p>
          <a:r>
            <a:rPr lang="de-DE" sz="1100" baseline="0"/>
            <a:t>Neopren Kopfhaube: 0,5 -1kg</a:t>
          </a:r>
        </a:p>
        <a:p>
          <a:endParaRPr lang="de-DE" sz="1100" baseline="0"/>
        </a:p>
        <a:p>
          <a:r>
            <a:rPr lang="de-DE" sz="1100" baseline="0"/>
            <a:t>Trilaminat Trockenanzug: 5kg</a:t>
          </a:r>
        </a:p>
        <a:p>
          <a:r>
            <a:rPr lang="de-DE" sz="1100" baseline="0"/>
            <a:t>Neopren Trockenanzug: 7kg</a:t>
          </a:r>
        </a:p>
        <a:p>
          <a:endParaRPr lang="de-DE" sz="1100" baseline="0"/>
        </a:p>
        <a:p>
          <a:r>
            <a:rPr lang="de-DE" sz="1100" baseline="0"/>
            <a:t>Funktionsunterwäsche: 1kg</a:t>
          </a:r>
        </a:p>
        <a:p>
          <a:r>
            <a:rPr lang="de-DE" sz="1100" baseline="0"/>
            <a:t>400g Unterzieher: 3kg</a:t>
          </a:r>
        </a:p>
        <a:p>
          <a:r>
            <a:rPr lang="de-DE" sz="1100" baseline="0"/>
            <a:t>200g Unterzieher: 2kg</a:t>
          </a:r>
        </a:p>
        <a:p>
          <a:r>
            <a:rPr lang="de-DE" sz="1100" baseline="0"/>
            <a:t>100g Unterzieher: 1kg</a:t>
          </a:r>
        </a:p>
        <a:p>
          <a:endParaRPr lang="de-DE" sz="1100"/>
        </a:p>
        <a:p>
          <a:r>
            <a:rPr lang="de-DE" sz="1100"/>
            <a:t>2nd Skin: 0,5kg</a:t>
          </a:r>
        </a:p>
        <a:p>
          <a:r>
            <a:rPr lang="de-DE" sz="1100"/>
            <a:t>Lavacore Anzug: 1kg</a:t>
          </a:r>
        </a:p>
        <a:p>
          <a:r>
            <a:rPr lang="de-DE" sz="1100"/>
            <a:t>D1 Waterproof: 8kg</a:t>
          </a:r>
        </a:p>
        <a:p>
          <a:endParaRPr lang="de-DE" sz="1100"/>
        </a:p>
      </xdr:txBody>
    </xdr:sp>
    <xdr:clientData/>
  </xdr:twoCellAnchor>
  <mc:AlternateContent xmlns:mc="http://schemas.openxmlformats.org/markup-compatibility/2006">
    <mc:Choice xmlns:a14="http://schemas.microsoft.com/office/drawing/2010/main" Requires="a14">
      <xdr:twoCellAnchor editAs="oneCell">
        <xdr:from>
          <xdr:col>2</xdr:col>
          <xdr:colOff>609600</xdr:colOff>
          <xdr:row>46</xdr:row>
          <xdr:rowOff>177800</xdr:rowOff>
        </xdr:from>
        <xdr:to>
          <xdr:col>5</xdr:col>
          <xdr:colOff>622300</xdr:colOff>
          <xdr:row>48</xdr:row>
          <xdr:rowOff>38100</xdr:rowOff>
        </xdr:to>
        <xdr:sp macro="" textlink="">
          <xdr:nvSpPr>
            <xdr:cNvPr id="1043" name="Drop Down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57</xdr:row>
          <xdr:rowOff>177800</xdr:rowOff>
        </xdr:from>
        <xdr:to>
          <xdr:col>2</xdr:col>
          <xdr:colOff>152400</xdr:colOff>
          <xdr:row>59</xdr:row>
          <xdr:rowOff>38100</xdr:rowOff>
        </xdr:to>
        <xdr:sp macro="" textlink="">
          <xdr:nvSpPr>
            <xdr:cNvPr id="1044" name="Drop Down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xdr:twoCellAnchor>
    <xdr:from>
      <xdr:col>0</xdr:col>
      <xdr:colOff>114300</xdr:colOff>
      <xdr:row>15</xdr:row>
      <xdr:rowOff>63500</xdr:rowOff>
    </xdr:from>
    <xdr:to>
      <xdr:col>9</xdr:col>
      <xdr:colOff>88900</xdr:colOff>
      <xdr:row>30</xdr:row>
      <xdr:rowOff>127000</xdr:rowOff>
    </xdr:to>
    <xdr:sp macro="" textlink="">
      <xdr:nvSpPr>
        <xdr:cNvPr id="3" name="Textfeld 2"/>
        <xdr:cNvSpPr txBox="1"/>
      </xdr:nvSpPr>
      <xdr:spPr>
        <a:xfrm>
          <a:off x="114300" y="2984500"/>
          <a:ext cx="8343900" cy="2921000"/>
        </a:xfrm>
        <a:prstGeom prst="rect">
          <a:avLst/>
        </a:prstGeom>
        <a:solidFill>
          <a:schemeClr val="lt1"/>
        </a:solidFill>
        <a:ln w="952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t>Ich wollte mir eine neue Ausrüstung beschaffen und wollte "einfach" diverse Möglichkeiten haben, diese zu vergleichen. Dieses Excel sheet beantwortet viele Fragen in der Tauchphysik, die ich selber hatte und mir keiner einfach erklären konnte bzw die Daten nur schwer zusammen zu tragen waren. Ich hoffe, dass dies auch anderen hilft.</a:t>
          </a:r>
        </a:p>
        <a:p>
          <a:endParaRPr lang="de-DE" sz="1200"/>
        </a:p>
        <a:p>
          <a:r>
            <a:rPr lang="de-DE" sz="1200"/>
            <a:t>Konkret werden behandelt:</a:t>
          </a:r>
        </a:p>
        <a:p>
          <a:endParaRPr lang="de-DE" sz="1200"/>
        </a:p>
        <a:p>
          <a:pPr marL="171450" indent="-171450">
            <a:buFont typeface="Arial"/>
            <a:buChar char="•"/>
          </a:pPr>
          <a:r>
            <a:rPr lang="de-DE" sz="1200"/>
            <a:t>Wie viel wiegt eine bestimmte Flaschen Konfiguration</a:t>
          </a:r>
        </a:p>
        <a:p>
          <a:pPr marL="171450" indent="-171450">
            <a:buFont typeface="Arial"/>
            <a:buChar char="•"/>
          </a:pPr>
          <a:r>
            <a:rPr lang="de-DE" sz="1200"/>
            <a:t>Wie lang sind potentiell meine Tauchgänge mit der Flaschen Konfiguration</a:t>
          </a:r>
        </a:p>
        <a:p>
          <a:pPr marL="171450" indent="-171450">
            <a:buFont typeface="Arial"/>
            <a:buChar char="•"/>
          </a:pPr>
          <a:r>
            <a:rPr lang="de-DE" sz="1200"/>
            <a:t>Wie viel Blei brauche ich mit Ausrüstung, Anzug und einer Flaschen Konfiguration</a:t>
          </a:r>
        </a:p>
        <a:p>
          <a:pPr marL="171450" indent="-171450">
            <a:buFont typeface="Arial"/>
            <a:buChar char="•"/>
          </a:pPr>
          <a:r>
            <a:rPr lang="de-DE" sz="1200"/>
            <a:t>Wie</a:t>
          </a:r>
          <a:r>
            <a:rPr lang="de-DE" sz="1200" baseline="0"/>
            <a:t> groß muss das Jacket/Wing sein</a:t>
          </a:r>
          <a:r>
            <a:rPr lang="de-DE" sz="1200"/>
            <a:t>? Es</a:t>
          </a:r>
          <a:r>
            <a:rPr lang="de-DE" sz="1200" baseline="0"/>
            <a:t> sollte nicht zu klein aber auch nicht viel zu groß sein. </a:t>
          </a:r>
          <a:endParaRPr lang="de-DE" sz="1200"/>
        </a:p>
        <a:p>
          <a:endParaRPr lang="de-DE" sz="1200"/>
        </a:p>
        <a:p>
          <a:r>
            <a:rPr lang="de-DE" sz="1200"/>
            <a:t>Danke an http://www.danielschmid.de/index.php?option=com_content&amp;view=article&amp;id=183&amp;Itemid=246</a:t>
          </a:r>
        </a:p>
        <a:p>
          <a:r>
            <a:rPr lang="de-DE" sz="1200"/>
            <a:t>Danke an http://www.subaqua.co.uk/cylinder-buoyancy.php?units=metric</a:t>
          </a:r>
        </a:p>
        <a:p>
          <a:r>
            <a:rPr lang="de-DE" sz="1200"/>
            <a:t>Danke an http://www.seveke.de/tauchen/technik/1werte.htm</a:t>
          </a:r>
        </a:p>
        <a:p>
          <a:r>
            <a:rPr lang="de-DE" sz="1200"/>
            <a:t>Danke an http://www.sidemount-tauchen.com/2013/11/19/technische-datentabelle-fuer-tauchflaschen/</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3</xdr:col>
          <xdr:colOff>876300</xdr:colOff>
          <xdr:row>4</xdr:row>
          <xdr:rowOff>50800</xdr:rowOff>
        </xdr:to>
        <xdr:sp macro="" textlink="">
          <xdr:nvSpPr>
            <xdr:cNvPr id="1046" name="Drop Down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520700</xdr:colOff>
          <xdr:row>52</xdr:row>
          <xdr:rowOff>12700</xdr:rowOff>
        </xdr:from>
        <xdr:to>
          <xdr:col>6</xdr:col>
          <xdr:colOff>190500</xdr:colOff>
          <xdr:row>53</xdr:row>
          <xdr:rowOff>63500</xdr:rowOff>
        </xdr:to>
        <xdr:sp macro="" textlink="">
          <xdr:nvSpPr>
            <xdr:cNvPr id="1047" name="Drop Down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xdr:twoCellAnchor>
    <xdr:from>
      <xdr:col>6</xdr:col>
      <xdr:colOff>431800</xdr:colOff>
      <xdr:row>33</xdr:row>
      <xdr:rowOff>177800</xdr:rowOff>
    </xdr:from>
    <xdr:to>
      <xdr:col>12</xdr:col>
      <xdr:colOff>406400</xdr:colOff>
      <xdr:row>62</xdr:row>
      <xdr:rowOff>127000</xdr:rowOff>
    </xdr:to>
    <xdr:sp macro="" textlink="">
      <xdr:nvSpPr>
        <xdr:cNvPr id="12" name="Textfeld 11"/>
        <xdr:cNvSpPr txBox="1"/>
      </xdr:nvSpPr>
      <xdr:spPr>
        <a:xfrm>
          <a:off x="7023100" y="4622800"/>
          <a:ext cx="3276600" cy="5473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Weight </a:t>
          </a:r>
          <a:r>
            <a:rPr lang="de-DE" sz="1100" b="0" baseline="0"/>
            <a:t>(approx):</a:t>
          </a:r>
        </a:p>
        <a:p>
          <a:r>
            <a:rPr lang="de-DE" sz="1100" b="0" baseline="0"/>
            <a:t>ADV Jacket: -3 - -4kg </a:t>
          </a:r>
        </a:p>
        <a:p>
          <a:r>
            <a:rPr lang="de-DE" sz="1100" b="0" baseline="0"/>
            <a:t>Backplate:  Steel -3kg,  Alu -1 kg</a:t>
          </a:r>
        </a:p>
        <a:p>
          <a:r>
            <a:rPr lang="de-DE" sz="1100" b="0" baseline="0"/>
            <a:t>Regulators (1+2 Stage): -2 - -3kg</a:t>
          </a:r>
        </a:p>
        <a:p>
          <a:r>
            <a:rPr lang="de-DE" sz="1100" b="0" baseline="0"/>
            <a:t>Torch: -0,5kg - -4kg</a:t>
          </a:r>
        </a:p>
        <a:p>
          <a:r>
            <a:rPr lang="de-DE" sz="1100" b="0" baseline="0"/>
            <a:t>Fins: </a:t>
          </a:r>
          <a:endParaRPr lang="de-DE" sz="1100" b="1"/>
        </a:p>
        <a:p>
          <a:endParaRPr lang="de-DE" sz="1100" b="1"/>
        </a:p>
        <a:p>
          <a:r>
            <a:rPr lang="de-DE" sz="1100" b="1"/>
            <a:t>BCD lift</a:t>
          </a:r>
          <a:r>
            <a:rPr lang="de-DE" sz="1100" b="1" baseline="0"/>
            <a:t> capacity </a:t>
          </a:r>
          <a:r>
            <a:rPr lang="de-DE" sz="1100" b="0"/>
            <a:t>(approx):</a:t>
          </a:r>
        </a:p>
        <a:p>
          <a:r>
            <a:rPr lang="de-DE" sz="1100" b="0"/>
            <a:t>ADV Jacket: XS 9kg,</a:t>
          </a:r>
          <a:r>
            <a:rPr lang="de-DE" sz="1100" b="0" baseline="0"/>
            <a:t> S 13kg, M 14kg, L 16kg, XL 19kg</a:t>
          </a:r>
        </a:p>
        <a:p>
          <a:r>
            <a:rPr lang="de-DE" sz="1100" b="0" baseline="0"/>
            <a:t>30 Wing: 13,62 kg</a:t>
          </a:r>
          <a:endParaRPr lang="de-DE" sz="1100" b="0"/>
        </a:p>
        <a:p>
          <a:r>
            <a:rPr lang="de-DE" sz="1100" b="0"/>
            <a:t>40 Wing: 18,16kg</a:t>
          </a:r>
        </a:p>
        <a:p>
          <a:r>
            <a:rPr lang="de-DE" sz="1100" b="0"/>
            <a:t>60 Wing: 27,24kg</a:t>
          </a:r>
          <a:endParaRPr lang="de-DE" sz="1100" b="1"/>
        </a:p>
        <a:p>
          <a:endParaRPr lang="de-DE" sz="1100" b="1"/>
        </a:p>
        <a:p>
          <a:r>
            <a:rPr lang="de-DE" sz="1100" b="1"/>
            <a:t>Suites bouyancy</a:t>
          </a:r>
          <a:r>
            <a:rPr lang="de-DE" sz="1100" b="1" baseline="0"/>
            <a:t> </a:t>
          </a:r>
          <a:r>
            <a:rPr lang="de-DE" sz="1100" baseline="0"/>
            <a:t>(approx):</a:t>
          </a:r>
        </a:p>
        <a:p>
          <a:r>
            <a:rPr lang="de-DE" sz="1100" baseline="0"/>
            <a:t>Wet 7mm Neopren: 7kg - 9kg</a:t>
          </a:r>
        </a:p>
        <a:p>
          <a:r>
            <a:rPr lang="de-DE" sz="1100" baseline="0"/>
            <a:t>Wet 5mm Neopren: 5kg - 7kg</a:t>
          </a:r>
        </a:p>
        <a:p>
          <a:r>
            <a:rPr lang="de-DE" sz="1100" baseline="0"/>
            <a:t>Wet 3mm Neopren: 3kg - 5kg</a:t>
          </a:r>
        </a:p>
        <a:p>
          <a:endParaRPr lang="de-DE" sz="1100" baseline="0"/>
        </a:p>
        <a:p>
          <a:r>
            <a:rPr lang="de-DE" sz="1100" baseline="0"/>
            <a:t>Neopren Shoes: 1kg</a:t>
          </a:r>
        </a:p>
        <a:p>
          <a:r>
            <a:rPr lang="de-DE" sz="1100" baseline="0"/>
            <a:t>Neopren Hood: 0,5 -1kg</a:t>
          </a:r>
        </a:p>
        <a:p>
          <a:endParaRPr lang="de-DE" sz="1100" baseline="0"/>
        </a:p>
        <a:p>
          <a:r>
            <a:rPr lang="de-DE" sz="1100" baseline="0"/>
            <a:t>Trilaminat Drysuite: 5kg</a:t>
          </a:r>
        </a:p>
        <a:p>
          <a:r>
            <a:rPr lang="de-DE" sz="1100" baseline="0"/>
            <a:t>Neopren Drysuite: 7kg</a:t>
          </a:r>
        </a:p>
        <a:p>
          <a:endParaRPr lang="de-DE" sz="1100" baseline="0"/>
        </a:p>
        <a:p>
          <a:r>
            <a:rPr lang="de-DE" sz="1100" baseline="0"/>
            <a:t>Simplest undergarment: 1kg</a:t>
          </a:r>
        </a:p>
        <a:p>
          <a:r>
            <a:rPr lang="de-DE" sz="1100" baseline="0"/>
            <a:t>400g undergarment: 3kg</a:t>
          </a:r>
        </a:p>
        <a:p>
          <a:r>
            <a:rPr lang="de-DE" sz="1100" baseline="0"/>
            <a:t>200g undergarment: 2kg</a:t>
          </a:r>
        </a:p>
        <a:p>
          <a:r>
            <a:rPr lang="de-DE" sz="1100" baseline="0"/>
            <a:t>100g undergarment: 1kg</a:t>
          </a:r>
        </a:p>
        <a:p>
          <a:endParaRPr lang="de-DE" sz="1100"/>
        </a:p>
        <a:p>
          <a:r>
            <a:rPr lang="de-DE" sz="1100"/>
            <a:t>2nd Skin: 0,5kg</a:t>
          </a:r>
        </a:p>
        <a:p>
          <a:r>
            <a:rPr lang="de-DE" sz="1100"/>
            <a:t>Lavacore Suite: 1kg</a:t>
          </a:r>
        </a:p>
        <a:p>
          <a:r>
            <a:rPr lang="de-DE" sz="1100"/>
            <a:t>D1 Waterproof: 8kg</a:t>
          </a:r>
        </a:p>
        <a:p>
          <a:endParaRPr lang="de-DE" sz="1100"/>
        </a:p>
      </xdr:txBody>
    </xdr:sp>
    <xdr:clientData/>
  </xdr:twoCellAnchor>
  <xdr:twoCellAnchor>
    <xdr:from>
      <xdr:col>0</xdr:col>
      <xdr:colOff>114300</xdr:colOff>
      <xdr:row>5</xdr:row>
      <xdr:rowOff>101600</xdr:rowOff>
    </xdr:from>
    <xdr:to>
      <xdr:col>9</xdr:col>
      <xdr:colOff>88900</xdr:colOff>
      <xdr:row>14</xdr:row>
      <xdr:rowOff>177800</xdr:rowOff>
    </xdr:to>
    <xdr:sp macro="" textlink="">
      <xdr:nvSpPr>
        <xdr:cNvPr id="13" name="Textfeld 12"/>
        <xdr:cNvSpPr txBox="1"/>
      </xdr:nvSpPr>
      <xdr:spPr>
        <a:xfrm>
          <a:off x="114300" y="1117600"/>
          <a:ext cx="8343900" cy="1790700"/>
        </a:xfrm>
        <a:prstGeom prst="rect">
          <a:avLst/>
        </a:prstGeom>
        <a:solidFill>
          <a:schemeClr val="lt1"/>
        </a:solidFill>
        <a:ln w="9525"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t>This Excel</a:t>
          </a:r>
          <a:r>
            <a:rPr lang="de-DE" sz="1200" baseline="0"/>
            <a:t> sheet includes several different aspects of diving physics, I actually created this when I was not sure what kind of BCD I should buy. It grew over time and I hope it helps some more people </a:t>
          </a:r>
          <a:endParaRPr lang="de-DE" sz="1200"/>
        </a:p>
        <a:p>
          <a:endParaRPr lang="de-DE" sz="1200"/>
        </a:p>
        <a:p>
          <a:r>
            <a:rPr lang="de-DE" sz="1200"/>
            <a:t>In detail what</a:t>
          </a:r>
          <a:r>
            <a:rPr lang="de-DE" sz="1200" baseline="0"/>
            <a:t> it includes:</a:t>
          </a:r>
          <a:endParaRPr lang="de-DE" sz="1200"/>
        </a:p>
        <a:p>
          <a:endParaRPr lang="de-DE" sz="1200"/>
        </a:p>
        <a:p>
          <a:pPr marL="171450" indent="-171450">
            <a:buFont typeface="Arial"/>
            <a:buChar char="•"/>
          </a:pPr>
          <a:r>
            <a:rPr lang="de-DE" sz="1200"/>
            <a:t>How much does a specific tank configuration</a:t>
          </a:r>
          <a:r>
            <a:rPr lang="de-DE" sz="1200" baseline="0"/>
            <a:t> weights</a:t>
          </a:r>
          <a:endParaRPr lang="de-DE" sz="1200"/>
        </a:p>
        <a:p>
          <a:pPr marL="171450" indent="-171450">
            <a:buFont typeface="Arial"/>
            <a:buChar char="•"/>
          </a:pPr>
          <a:r>
            <a:rPr lang="de-DE" sz="1200"/>
            <a:t>How long can you expect to dive approximately with certain tanks</a:t>
          </a:r>
        </a:p>
        <a:p>
          <a:pPr marL="171450" indent="-171450">
            <a:buFont typeface="Arial"/>
            <a:buChar char="•"/>
          </a:pPr>
          <a:r>
            <a:rPr lang="de-DE" sz="1200"/>
            <a:t>How much weight do you need for specific equipment,</a:t>
          </a:r>
          <a:r>
            <a:rPr lang="de-DE" sz="1200" baseline="0"/>
            <a:t> suite and tanks</a:t>
          </a:r>
          <a:endParaRPr lang="de-DE" sz="1200"/>
        </a:p>
        <a:p>
          <a:pPr marL="171450" indent="-171450">
            <a:buFont typeface="Arial"/>
            <a:buChar char="•"/>
          </a:pPr>
          <a:r>
            <a:rPr lang="de-DE" sz="1200"/>
            <a:t>How much</a:t>
          </a:r>
          <a:r>
            <a:rPr lang="de-DE" sz="1200" baseline="0"/>
            <a:t> should the BCD lift capacity be? It should not be too small but also not too big.</a:t>
          </a:r>
          <a:endParaRPr lang="de-DE" sz="1200"/>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9" Type="http://schemas.openxmlformats.org/officeDocument/2006/relationships/ctrlProp" Target="../ctrlProps/ctrlProp7.xml"/><Relationship Id="rId10" Type="http://schemas.openxmlformats.org/officeDocument/2006/relationships/ctrlProp" Target="../ctrlProps/ctrlProp8.xml"/><Relationship Id="rId1" Type="http://schemas.openxmlformats.org/officeDocument/2006/relationships/drawing" Target="../drawings/drawing1.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7"/>
  <sheetViews>
    <sheetView tabSelected="1" workbookViewId="0">
      <selection activeCell="B39" sqref="B39"/>
    </sheetView>
  </sheetViews>
  <sheetFormatPr baseColWidth="10" defaultRowHeight="15" x14ac:dyDescent="0"/>
  <cols>
    <col min="1" max="1" width="39.33203125" customWidth="1"/>
    <col min="3" max="3" width="8.1640625" customWidth="1"/>
    <col min="4" max="4" width="12.1640625" customWidth="1"/>
    <col min="5" max="5" width="7.5" customWidth="1"/>
    <col min="6" max="6" width="8.5" customWidth="1"/>
    <col min="7" max="7" width="8.33203125" customWidth="1"/>
    <col min="8" max="9" width="7.5" customWidth="1"/>
    <col min="10" max="10" width="6.83203125" customWidth="1"/>
    <col min="11" max="11" width="6.6640625" customWidth="1"/>
    <col min="12" max="12" width="6.5" customWidth="1"/>
    <col min="13" max="13" width="6.6640625" customWidth="1"/>
    <col min="17" max="17" width="38.83203125" customWidth="1"/>
  </cols>
  <sheetData>
    <row r="1" spans="1:3" ht="20">
      <c r="A1" s="14" t="str">
        <f>Text!A9</f>
        <v xml:space="preserve">Balanced Rig - Tank &amp; BCD size - Weight calculation </v>
      </c>
    </row>
    <row r="2" spans="1:3">
      <c r="A2" s="30" t="str">
        <f>Text!B10</f>
        <v>Excel von benjamin@pannier.org</v>
      </c>
      <c r="C2" t="s">
        <v>238</v>
      </c>
    </row>
    <row r="3" spans="1:3">
      <c r="A3" s="12"/>
    </row>
    <row r="4" spans="1:3">
      <c r="A4" s="12" t="s">
        <v>113</v>
      </c>
    </row>
    <row r="5" spans="1:3">
      <c r="A5" s="12"/>
    </row>
    <row r="6" spans="1:3">
      <c r="A6" s="12"/>
    </row>
    <row r="7" spans="1:3">
      <c r="A7" s="12"/>
    </row>
    <row r="8" spans="1:3">
      <c r="A8" s="12"/>
    </row>
    <row r="9" spans="1:3">
      <c r="A9" s="12"/>
    </row>
    <row r="10" spans="1:3">
      <c r="A10" s="12"/>
    </row>
    <row r="11" spans="1:3">
      <c r="A11" s="12"/>
    </row>
    <row r="12" spans="1:3">
      <c r="A12" s="12"/>
    </row>
    <row r="13" spans="1:3">
      <c r="A13" s="12"/>
    </row>
    <row r="14" spans="1:3">
      <c r="A14" s="12"/>
    </row>
    <row r="15" spans="1:3">
      <c r="A15" s="12"/>
    </row>
    <row r="16" spans="1:3">
      <c r="A16" s="12"/>
    </row>
    <row r="17" spans="1:1">
      <c r="A17" s="12"/>
    </row>
    <row r="18" spans="1:1">
      <c r="A18" s="12"/>
    </row>
    <row r="19" spans="1:1">
      <c r="A19" s="12"/>
    </row>
    <row r="20" spans="1:1">
      <c r="A20" s="12"/>
    </row>
    <row r="21" spans="1:1">
      <c r="A21" s="12"/>
    </row>
    <row r="22" spans="1:1">
      <c r="A22" s="12"/>
    </row>
    <row r="23" spans="1:1">
      <c r="A23" s="12"/>
    </row>
    <row r="24" spans="1:1">
      <c r="A24" s="12"/>
    </row>
    <row r="25" spans="1:1">
      <c r="A25" s="12"/>
    </row>
    <row r="26" spans="1:1">
      <c r="A26" s="12"/>
    </row>
    <row r="27" spans="1:1">
      <c r="A27" s="12"/>
    </row>
    <row r="28" spans="1:1">
      <c r="A28" s="12"/>
    </row>
    <row r="29" spans="1:1">
      <c r="A29" s="12"/>
    </row>
    <row r="30" spans="1:1">
      <c r="A30" s="12"/>
    </row>
    <row r="31" spans="1:1">
      <c r="A31" s="12"/>
    </row>
    <row r="34" spans="1:6" ht="23">
      <c r="A34" s="45" t="str">
        <f>Text!A11</f>
        <v>Please, enter/correct data in red fields and dropdown selections:</v>
      </c>
    </row>
    <row r="35" spans="1:6">
      <c r="A35" s="26" t="str">
        <f>Text!A12</f>
        <v>(positive + and negative - bouyancy, see Box for examples)</v>
      </c>
    </row>
    <row r="38" spans="1:6">
      <c r="A38" s="28" t="str">
        <f>Text!A13</f>
        <v>Equipment weight:</v>
      </c>
    </row>
    <row r="39" spans="1:6">
      <c r="A39" s="26" t="str">
        <f>Text!A14</f>
        <v>Backplate/Jacket:</v>
      </c>
      <c r="B39" s="3">
        <v>-3</v>
      </c>
      <c r="C39" t="s">
        <v>12</v>
      </c>
      <c r="D39" t="str">
        <f>IF(B39&gt;0,"Abtrieb muss negativ sein","")</f>
        <v/>
      </c>
    </row>
    <row r="40" spans="1:6">
      <c r="A40" s="26" t="str">
        <f>Text!A15</f>
        <v>Regulators:</v>
      </c>
      <c r="B40" s="3">
        <v>-2</v>
      </c>
      <c r="C40" t="s">
        <v>12</v>
      </c>
      <c r="D40" t="str">
        <f t="shared" ref="D40:D42" si="0">IF(B40&gt;0,"Abtrieb muss negativ sein","")</f>
        <v/>
      </c>
    </row>
    <row r="41" spans="1:6">
      <c r="A41" s="26" t="str">
        <f>Text!A16</f>
        <v>Torches:</v>
      </c>
      <c r="B41" s="3">
        <v>0</v>
      </c>
      <c r="C41" t="s">
        <v>12</v>
      </c>
      <c r="D41" t="str">
        <f t="shared" si="0"/>
        <v/>
      </c>
    </row>
    <row r="42" spans="1:6">
      <c r="A42" s="26" t="str">
        <f>Text!A17</f>
        <v>Anything else:</v>
      </c>
      <c r="B42" s="3">
        <v>0</v>
      </c>
      <c r="C42" t="s">
        <v>12</v>
      </c>
      <c r="D42" t="str">
        <f t="shared" si="0"/>
        <v/>
      </c>
    </row>
    <row r="43" spans="1:6">
      <c r="B43" s="2"/>
    </row>
    <row r="44" spans="1:6">
      <c r="A44" s="28" t="str">
        <f>Text!A18</f>
        <v>Jacket/Wing size</v>
      </c>
      <c r="B44" s="2"/>
    </row>
    <row r="45" spans="1:6">
      <c r="A45" s="26" t="str">
        <f>Text!A19</f>
        <v>Maxim lift capacity:</v>
      </c>
      <c r="B45" s="3">
        <v>18.16</v>
      </c>
      <c r="C45" t="s">
        <v>12</v>
      </c>
      <c r="D45" s="26" t="str">
        <f>Text!A20</f>
        <v>equal to</v>
      </c>
      <c r="E45">
        <f>B45*1000/454</f>
        <v>40</v>
      </c>
      <c r="F45" t="s">
        <v>40</v>
      </c>
    </row>
    <row r="46" spans="1:6">
      <c r="B46" s="2"/>
      <c r="E46">
        <f>B45*10</f>
        <v>181.6</v>
      </c>
      <c r="F46" t="s">
        <v>100</v>
      </c>
    </row>
    <row r="47" spans="1:6">
      <c r="A47" s="28" t="str">
        <f>Text!A21</f>
        <v>Suite:</v>
      </c>
    </row>
    <row r="48" spans="1:6">
      <c r="A48" s="26" t="str">
        <f>Text!A22</f>
        <v>Creates positive bouyancy:</v>
      </c>
      <c r="B48" s="3">
        <v>6</v>
      </c>
      <c r="C48" t="s">
        <v>12</v>
      </c>
    </row>
    <row r="49" spans="1:11">
      <c r="B49" s="2"/>
    </row>
    <row r="50" spans="1:11">
      <c r="A50" s="28" t="str">
        <f>Text!A23</f>
        <v>Water:</v>
      </c>
      <c r="B50" s="2"/>
    </row>
    <row r="52" spans="1:11">
      <c r="A52" s="28" t="str">
        <f>Text!A24</f>
        <v>Tank(s):</v>
      </c>
    </row>
    <row r="53" spans="1:11">
      <c r="A53" s="26" t="str">
        <f>Text!A25</f>
        <v>Material</v>
      </c>
    </row>
    <row r="55" spans="1:11">
      <c r="A55" s="26" t="str">
        <f>Text!A26</f>
        <v>Size</v>
      </c>
      <c r="D55" t="s">
        <v>13</v>
      </c>
    </row>
    <row r="57" spans="1:11">
      <c r="A57" s="26" t="str">
        <f>Text!A27</f>
        <v>Actual filled with</v>
      </c>
      <c r="D57" t="s">
        <v>10</v>
      </c>
    </row>
    <row r="59" spans="1:11">
      <c r="A59" s="26" t="str">
        <f>Text!A28</f>
        <v>Admitted for max</v>
      </c>
      <c r="D59" t="s">
        <v>10</v>
      </c>
      <c r="K59" s="5"/>
    </row>
    <row r="60" spans="1:11">
      <c r="K60" s="5"/>
    </row>
    <row r="61" spans="1:11">
      <c r="A61" s="28" t="str">
        <f>Text!A29</f>
        <v>Tank weight:</v>
      </c>
      <c r="B61" s="2"/>
      <c r="K61" s="5"/>
    </row>
    <row r="62" spans="1:11">
      <c r="A62" t="str">
        <f>Data!A$93</f>
        <v>Full (200 bar)</v>
      </c>
      <c r="B62" s="18">
        <f>Data!C72+Data!B85</f>
        <v>35.433120000000002</v>
      </c>
      <c r="C62" t="s">
        <v>12</v>
      </c>
      <c r="E62" s="15"/>
      <c r="K62" s="5"/>
    </row>
    <row r="63" spans="1:11">
      <c r="A63" s="26" t="str">
        <f>Text!A30</f>
        <v>Empty</v>
      </c>
      <c r="B63" s="18">
        <f>Data!C71</f>
        <v>30</v>
      </c>
      <c r="C63" t="s">
        <v>12</v>
      </c>
      <c r="D63" s="26" t="str">
        <f>Text!A32</f>
        <v>Correction:</v>
      </c>
      <c r="E63" s="3">
        <v>0</v>
      </c>
      <c r="F63" t="s">
        <v>12</v>
      </c>
      <c r="K63" s="5"/>
    </row>
    <row r="64" spans="1:11">
      <c r="A64" s="26" t="str">
        <f>Text!A31</f>
        <v>Empty corrected</v>
      </c>
      <c r="B64" s="18">
        <f>Data!C72</f>
        <v>30</v>
      </c>
      <c r="C64" t="s">
        <v>12</v>
      </c>
      <c r="D64" s="26" t="str">
        <f>Text!A33</f>
        <v>(If the given weight does not correlate with actual weight of your tank(s), give a correction +- number)</v>
      </c>
      <c r="E64" s="2"/>
      <c r="K64" s="5"/>
    </row>
    <row r="65" spans="1:11">
      <c r="A65" t="str">
        <f>Data!A94</f>
        <v>Actual with 100 bar</v>
      </c>
      <c r="B65" s="15">
        <f>Data!C72+Data!B87</f>
        <v>32.744280000000003</v>
      </c>
      <c r="C65" t="s">
        <v>12</v>
      </c>
      <c r="E65" s="15"/>
      <c r="K65" s="5"/>
    </row>
    <row r="66" spans="1:11">
      <c r="K66" s="5"/>
    </row>
    <row r="67" spans="1:11">
      <c r="A67" s="28" t="str">
        <f>Text!A34</f>
        <v>Tank gasvolume</v>
      </c>
      <c r="B67" s="2"/>
    </row>
    <row r="68" spans="1:11">
      <c r="A68" t="str">
        <f>Data!A$93</f>
        <v>Full (200 bar)</v>
      </c>
      <c r="B68" s="15">
        <f>Data!B84</f>
        <v>4312</v>
      </c>
      <c r="C68" t="s">
        <v>31</v>
      </c>
      <c r="D68" s="26" t="str">
        <f>Text!A35</f>
        <v>Weight:</v>
      </c>
      <c r="E68" s="15">
        <f>B62-B64</f>
        <v>5.4331200000000024</v>
      </c>
      <c r="F68" t="s">
        <v>12</v>
      </c>
    </row>
    <row r="69" spans="1:11">
      <c r="A69" s="26" t="str">
        <f>Text!A30</f>
        <v>Empty</v>
      </c>
      <c r="B69" s="15">
        <v>0</v>
      </c>
      <c r="C69" t="s">
        <v>31</v>
      </c>
      <c r="D69" s="7"/>
      <c r="E69" s="5"/>
    </row>
    <row r="70" spans="1:11">
      <c r="A70" t="str">
        <f>Data!A94</f>
        <v>Actual with 100 bar</v>
      </c>
      <c r="B70" s="15">
        <f>Data!B86</f>
        <v>2178</v>
      </c>
      <c r="C70" t="s">
        <v>31</v>
      </c>
      <c r="D70" s="31" t="str">
        <f>Text!A35</f>
        <v>Weight:</v>
      </c>
      <c r="E70" s="15">
        <f>B65-B64</f>
        <v>2.7442800000000034</v>
      </c>
      <c r="F70" t="s">
        <v>12</v>
      </c>
    </row>
    <row r="71" spans="1:11">
      <c r="A71" s="7" t="s">
        <v>72</v>
      </c>
      <c r="B71" s="15">
        <f>Data!B90</f>
        <v>1078</v>
      </c>
      <c r="C71" t="s">
        <v>31</v>
      </c>
      <c r="D71" s="6"/>
      <c r="E71" s="5"/>
    </row>
    <row r="72" spans="1:11">
      <c r="D72" s="6"/>
      <c r="E72" s="5"/>
    </row>
    <row r="73" spans="1:11">
      <c r="A73" s="28" t="str">
        <f>Text!A36</f>
        <v>Gas usage / approximated max dive duration with actual gas filling</v>
      </c>
      <c r="D73" s="6"/>
      <c r="E73" s="5"/>
    </row>
    <row r="74" spans="1:11">
      <c r="A74" s="26" t="str">
        <f>Text!A37</f>
        <v>SAC rate average</v>
      </c>
      <c r="B74" s="3">
        <v>20</v>
      </c>
      <c r="C74" t="s">
        <v>50</v>
      </c>
    </row>
    <row r="75" spans="1:11">
      <c r="B75" s="2"/>
    </row>
    <row r="76" spans="1:11">
      <c r="C76" s="26" t="str">
        <f>Text!A38</f>
        <v>CAUTION! Given times are just approximated and you have to do a real dive planning!</v>
      </c>
    </row>
    <row r="77" spans="1:11">
      <c r="B77" s="32" t="str">
        <f>Text!A39</f>
        <v>Max depth in meters</v>
      </c>
      <c r="C77" s="16">
        <v>0</v>
      </c>
      <c r="D77" s="17">
        <v>10</v>
      </c>
      <c r="E77" s="17">
        <v>20</v>
      </c>
      <c r="F77" s="17">
        <v>30</v>
      </c>
      <c r="G77" s="17">
        <v>40</v>
      </c>
      <c r="H77" s="20">
        <v>50</v>
      </c>
      <c r="I77" s="13"/>
    </row>
    <row r="78" spans="1:11">
      <c r="B78" s="33" t="str">
        <f>Text!A40</f>
        <v>Time in minutes until tank is completely empty</v>
      </c>
      <c r="C78" s="9">
        <f t="shared" ref="C78:H78" si="1">($B70-$B71-B107)/($B74*(C77/10+1))-C77/10-C77/9-3</f>
        <v>51.406585775218595</v>
      </c>
      <c r="D78" s="8">
        <f t="shared" si="1"/>
        <v>21.795474664107488</v>
      </c>
      <c r="E78" s="8">
        <f t="shared" si="1"/>
        <v>10.517696886329709</v>
      </c>
      <c r="F78" s="8">
        <f t="shared" si="1"/>
        <v>3.8232524418852627</v>
      </c>
      <c r="G78" s="8">
        <f t="shared" si="1"/>
        <v>-1.0378586692258462</v>
      </c>
      <c r="H78" s="21">
        <f t="shared" si="1"/>
        <v>-4.9823031136702909</v>
      </c>
    </row>
    <row r="79" spans="1:11">
      <c r="B79" s="2"/>
      <c r="C79" s="34" t="str">
        <f>Text!A41</f>
        <v>(10 meter/min descend - 9 meter/min ascend - 3 min safety stop - Reserve - BCD filling)</v>
      </c>
    </row>
    <row r="80" spans="1:11">
      <c r="B80" s="2"/>
      <c r="E80" s="19"/>
    </row>
    <row r="81" spans="1:6">
      <c r="A81" s="28" t="str">
        <f>Text!A42</f>
        <v>Tank bouyancy:</v>
      </c>
    </row>
    <row r="82" spans="1:6">
      <c r="A82" t="str">
        <f>Data!A$93</f>
        <v>Full (200 bar)</v>
      </c>
      <c r="B82" s="15">
        <f>Data!B88</f>
        <v>-0.9313422222222183</v>
      </c>
      <c r="C82" t="s">
        <v>12</v>
      </c>
    </row>
    <row r="83" spans="1:6">
      <c r="A83" s="26" t="str">
        <f>Text!A30</f>
        <v>Empty</v>
      </c>
      <c r="B83" s="15">
        <f>Data!B83</f>
        <v>4.5017777777777823</v>
      </c>
      <c r="C83" t="s">
        <v>12</v>
      </c>
    </row>
    <row r="84" spans="1:6">
      <c r="A84" t="str">
        <f>Data!A94</f>
        <v>Actual with 100 bar</v>
      </c>
      <c r="B84" s="15">
        <f>Data!B89</f>
        <v>1.757497777777782</v>
      </c>
      <c r="C84" t="s">
        <v>12</v>
      </c>
    </row>
    <row r="86" spans="1:6">
      <c r="A86" s="28" t="str">
        <f>Text!A43</f>
        <v>Bouyancy rig &amp; equipment without Weight but with suite:</v>
      </c>
    </row>
    <row r="87" spans="1:6">
      <c r="A87" t="str">
        <f>Data!A$93</f>
        <v>Full (200 bar)</v>
      </c>
      <c r="B87" s="15">
        <f>SUM(B39:B42)+B48+B82</f>
        <v>6.8657777777781703E-2</v>
      </c>
      <c r="C87" t="s">
        <v>12</v>
      </c>
    </row>
    <row r="88" spans="1:6">
      <c r="A88" s="26" t="str">
        <f>Text!A30</f>
        <v>Empty</v>
      </c>
      <c r="B88" s="15">
        <f>SUM(B39:B42)+B48+B83</f>
        <v>5.5017777777777823</v>
      </c>
      <c r="C88" t="s">
        <v>12</v>
      </c>
    </row>
    <row r="89" spans="1:6">
      <c r="A89" t="str">
        <f>Data!A94</f>
        <v>Actual with 100 bar</v>
      </c>
      <c r="B89" s="15">
        <f>SUM(B39:B42)+B48+B84</f>
        <v>2.757497777777782</v>
      </c>
      <c r="C89" t="s">
        <v>12</v>
      </c>
    </row>
    <row r="91" spans="1:6">
      <c r="A91" s="28" t="str">
        <f>Text!A44</f>
        <v>Weight minimum:</v>
      </c>
      <c r="B91" s="15">
        <f>IF(B88&lt;-Data!C76,0,-1*(B88+Data!C76))</f>
        <v>-7.5017777777777823</v>
      </c>
      <c r="C91" t="s">
        <v>12</v>
      </c>
      <c r="D91" s="28" t="str">
        <f>Text!A45</f>
        <v>Rounded:</v>
      </c>
      <c r="E91" s="42">
        <f>ROUNDUP(B91,0)</f>
        <v>-8</v>
      </c>
      <c r="F91" t="s">
        <v>12</v>
      </c>
    </row>
    <row r="92" spans="1:6">
      <c r="A92" s="1"/>
      <c r="B92" t="str">
        <f>CONCATENATE(Text!A116," ",Data!A98)</f>
        <v>Weight calculated for bouyancy with empty tanks, suite, rig, equipment and extra weight (2 kg for drysuite filling)</v>
      </c>
      <c r="E92" s="1"/>
    </row>
    <row r="94" spans="1:6">
      <c r="A94" s="28" t="str">
        <f>Text!A47</f>
        <v>Bouyancy without suite with weight on rig and equipment</v>
      </c>
    </row>
    <row r="95" spans="1:6">
      <c r="A95" t="str">
        <f>Data!A$93</f>
        <v>Full (200 bar)</v>
      </c>
      <c r="B95" s="15">
        <f>SUM(B39:B42)+B82+E91</f>
        <v>-13.931342222222218</v>
      </c>
      <c r="C95" t="s">
        <v>12</v>
      </c>
      <c r="D95" s="28" t="str">
        <f>Text!A48</f>
        <v>Minimal needed bouyancy in BCD if suite does not create any bouyancy</v>
      </c>
    </row>
    <row r="96" spans="1:6">
      <c r="A96" s="26" t="str">
        <f>Text!A30</f>
        <v>Empty</v>
      </c>
      <c r="B96" s="15">
        <f>SUM(B39:B42)+B83+E91</f>
        <v>-8.4982222222222177</v>
      </c>
      <c r="C96" t="s">
        <v>12</v>
      </c>
    </row>
    <row r="97" spans="1:17">
      <c r="A97" t="str">
        <f>Data!A94</f>
        <v>Actual with 100 bar</v>
      </c>
      <c r="B97" s="15">
        <f>SUM(B39:B42)+B84+E91</f>
        <v>-11.242502222222218</v>
      </c>
      <c r="C97" t="s">
        <v>12</v>
      </c>
    </row>
    <row r="98" spans="1:17">
      <c r="A98" s="26" t="str">
        <f>Text!A49</f>
        <v>Bouyancy value compared to BCD lift size</v>
      </c>
      <c r="B98" s="15">
        <f>B95+B45</f>
        <v>4.2286577777777818</v>
      </c>
      <c r="C98" t="s">
        <v>12</v>
      </c>
      <c r="D98" s="44" t="str">
        <f>IF(B98&lt;0.2,Text!A117,IF(B45&gt;1.5*ABS(B95),Text!A118,Text!A119))</f>
        <v>BCD size is good - Lift size is &gt; negative bouyancy</v>
      </c>
      <c r="E98" s="44"/>
      <c r="F98" s="44"/>
      <c r="G98" s="44"/>
      <c r="H98" s="44"/>
      <c r="I98" s="44"/>
      <c r="J98" s="44"/>
      <c r="K98" s="44"/>
      <c r="L98" s="44"/>
      <c r="M98" s="44"/>
      <c r="N98" s="44"/>
      <c r="O98" s="44"/>
      <c r="P98" s="44"/>
      <c r="Q98" s="44"/>
    </row>
    <row r="100" spans="1:17">
      <c r="A100" s="28" t="str">
        <f>Text!A50</f>
        <v>Total bouyancy with suite, rig, equipment and weight</v>
      </c>
    </row>
    <row r="101" spans="1:17">
      <c r="A101" t="str">
        <f>Data!A$93</f>
        <v>Full (200 bar)</v>
      </c>
      <c r="B101" s="15">
        <f>B95+B48</f>
        <v>-7.9313422222222183</v>
      </c>
      <c r="C101" t="s">
        <v>12</v>
      </c>
    </row>
    <row r="102" spans="1:17">
      <c r="A102" s="26" t="str">
        <f>Text!A30</f>
        <v>Empty</v>
      </c>
      <c r="B102" s="15">
        <f>B96+B48</f>
        <v>-2.4982222222222177</v>
      </c>
      <c r="C102" t="s">
        <v>12</v>
      </c>
      <c r="D102" s="44" t="str">
        <f>IF(Data!B91&lt;1,Data!A95,IF(Data!B91&lt;2,Data!A96,Data!A97))</f>
        <v>Perfectly weighted! (+0,5 kg) (2 kg for drysuite filling)</v>
      </c>
      <c r="E102" s="44"/>
      <c r="F102" s="44"/>
      <c r="G102" s="44"/>
      <c r="H102" s="44"/>
      <c r="I102" s="44"/>
      <c r="J102" s="44"/>
      <c r="K102" s="44"/>
      <c r="L102" s="44"/>
    </row>
    <row r="103" spans="1:17">
      <c r="A103" t="str">
        <f>Data!A94</f>
        <v>Actual with 100 bar</v>
      </c>
      <c r="B103" s="15">
        <f>B97+B48</f>
        <v>-5.2425022222222175</v>
      </c>
      <c r="C103" t="s">
        <v>12</v>
      </c>
    </row>
    <row r="104" spans="1:17">
      <c r="A104" s="1"/>
    </row>
    <row r="105" spans="1:17">
      <c r="A105" s="28" t="str">
        <f>Text!A51</f>
        <v>Gas volume usage for BCD to create positive bouyancy without suite, with actual tank filling (+10%)</v>
      </c>
      <c r="B105" s="5"/>
    </row>
    <row r="106" spans="1:17">
      <c r="A106" s="26" t="str">
        <f>Text!A52</f>
        <v>Depth in meter</v>
      </c>
      <c r="B106" s="22">
        <f>Rig!C77</f>
        <v>0</v>
      </c>
      <c r="C106" s="22">
        <f>Rig!D77</f>
        <v>10</v>
      </c>
      <c r="D106" s="22">
        <f>Rig!E77</f>
        <v>20</v>
      </c>
      <c r="E106" s="22">
        <f>Rig!F77</f>
        <v>30</v>
      </c>
      <c r="F106" s="22">
        <f>Rig!G77</f>
        <v>40</v>
      </c>
      <c r="G106" s="22">
        <f>Rig!H77</f>
        <v>50</v>
      </c>
    </row>
    <row r="107" spans="1:17">
      <c r="A107" t="s">
        <v>98</v>
      </c>
      <c r="B107" s="15">
        <f>ABS(($B97/Data!$C67)*(B106/10+1))*1.1</f>
        <v>11.868284495628062</v>
      </c>
      <c r="C107" s="15">
        <f>ABS(($B97/Data!$C67)*(C106/10+1))*1.1</f>
        <v>23.736568991256124</v>
      </c>
      <c r="D107" s="15">
        <f>ABS(($B97/Data!$C67)*(D106/10+1))*1.1</f>
        <v>35.604853486884181</v>
      </c>
      <c r="E107" s="15">
        <f>ABS(($B97/Data!$C67)*(E106/10+1))*1.1</f>
        <v>47.473137982512249</v>
      </c>
      <c r="F107" s="15">
        <f>ABS(($B97/Data!$C67)*(F106/10+1))*1.1</f>
        <v>59.341422478140309</v>
      </c>
      <c r="G107" s="15">
        <f>ABS(($B97/Data!$C67)*(G106/10+1))*1.1</f>
        <v>71.209706973768363</v>
      </c>
    </row>
  </sheetData>
  <mergeCells count="2">
    <mergeCell ref="D98:Q98"/>
    <mergeCell ref="D102:L102"/>
  </mergeCells>
  <conditionalFormatting sqref="D98:Q98">
    <cfRule type="beginsWith" dxfId="1" priority="2" operator="beginsWith" text="WARN">
      <formula>LEFT(D98,LEN("WARN"))="WARN"</formula>
    </cfRule>
  </conditionalFormatting>
  <conditionalFormatting sqref="D102">
    <cfRule type="beginsWith" dxfId="0" priority="1" operator="beginsWith" text="WARN">
      <formula>LEFT(D102,LEN("WARN"))="WARN"</formula>
    </cfRule>
  </conditionalFormatting>
  <pageMargins left="0.75" right="0.75" top="1" bottom="1" header="0.5" footer="0.5"/>
  <pageSetup paperSize="9"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1027" r:id="rId3" name="Drop Down 3">
              <controlPr defaultSize="0" autoLine="0" autoPict="0">
                <anchor moveWithCells="1">
                  <from>
                    <xdr:col>0</xdr:col>
                    <xdr:colOff>2324100</xdr:colOff>
                    <xdr:row>52</xdr:row>
                    <xdr:rowOff>0</xdr:rowOff>
                  </from>
                  <to>
                    <xdr:col>2</xdr:col>
                    <xdr:colOff>177800</xdr:colOff>
                    <xdr:row>53</xdr:row>
                    <xdr:rowOff>50800</xdr:rowOff>
                  </to>
                </anchor>
              </controlPr>
            </control>
          </mc:Choice>
          <mc:Fallback/>
        </mc:AlternateContent>
        <mc:AlternateContent xmlns:mc="http://schemas.openxmlformats.org/markup-compatibility/2006">
          <mc:Choice Requires="x14">
            <control shapeId="1028" r:id="rId4" name="Drop Down 4">
              <controlPr defaultSize="0" autoLine="0" autoPict="0">
                <anchor moveWithCells="1">
                  <from>
                    <xdr:col>0</xdr:col>
                    <xdr:colOff>2324100</xdr:colOff>
                    <xdr:row>53</xdr:row>
                    <xdr:rowOff>177800</xdr:rowOff>
                  </from>
                  <to>
                    <xdr:col>2</xdr:col>
                    <xdr:colOff>152400</xdr:colOff>
                    <xdr:row>55</xdr:row>
                    <xdr:rowOff>38100</xdr:rowOff>
                  </to>
                </anchor>
              </controlPr>
            </control>
          </mc:Choice>
          <mc:Fallback/>
        </mc:AlternateContent>
        <mc:AlternateContent xmlns:mc="http://schemas.openxmlformats.org/markup-compatibility/2006">
          <mc:Choice Requires="x14">
            <control shapeId="1041" r:id="rId5" name="Drop Down 17">
              <controlPr defaultSize="0" autoLine="0" autoPict="0">
                <anchor moveWithCells="1">
                  <from>
                    <xdr:col>0</xdr:col>
                    <xdr:colOff>2324100</xdr:colOff>
                    <xdr:row>49</xdr:row>
                    <xdr:rowOff>0</xdr:rowOff>
                  </from>
                  <to>
                    <xdr:col>3</xdr:col>
                    <xdr:colOff>406400</xdr:colOff>
                    <xdr:row>50</xdr:row>
                    <xdr:rowOff>50800</xdr:rowOff>
                  </to>
                </anchor>
              </controlPr>
            </control>
          </mc:Choice>
          <mc:Fallback/>
        </mc:AlternateContent>
        <mc:AlternateContent xmlns:mc="http://schemas.openxmlformats.org/markup-compatibility/2006">
          <mc:Choice Requires="x14">
            <control shapeId="1043" r:id="rId6" name="Drop Down 19">
              <controlPr defaultSize="0" autoLine="0" autoPict="0">
                <anchor moveWithCells="1">
                  <from>
                    <xdr:col>2</xdr:col>
                    <xdr:colOff>609600</xdr:colOff>
                    <xdr:row>46</xdr:row>
                    <xdr:rowOff>177800</xdr:rowOff>
                  </from>
                  <to>
                    <xdr:col>5</xdr:col>
                    <xdr:colOff>622300</xdr:colOff>
                    <xdr:row>48</xdr:row>
                    <xdr:rowOff>38100</xdr:rowOff>
                  </to>
                </anchor>
              </controlPr>
            </control>
          </mc:Choice>
          <mc:Fallback/>
        </mc:AlternateContent>
        <mc:AlternateContent xmlns:mc="http://schemas.openxmlformats.org/markup-compatibility/2006">
          <mc:Choice Requires="x14">
            <control shapeId="1046" r:id="rId7" name="Drop Down 22">
              <controlPr defaultSize="0" autoLine="0" autoPict="0">
                <anchor moveWithCells="1">
                  <from>
                    <xdr:col>1</xdr:col>
                    <xdr:colOff>0</xdr:colOff>
                    <xdr:row>3</xdr:row>
                    <xdr:rowOff>0</xdr:rowOff>
                  </from>
                  <to>
                    <xdr:col>3</xdr:col>
                    <xdr:colOff>876300</xdr:colOff>
                    <xdr:row>4</xdr:row>
                    <xdr:rowOff>50800</xdr:rowOff>
                  </to>
                </anchor>
              </controlPr>
            </control>
          </mc:Choice>
          <mc:Fallback/>
        </mc:AlternateContent>
        <mc:AlternateContent xmlns:mc="http://schemas.openxmlformats.org/markup-compatibility/2006">
          <mc:Choice Requires="x14">
            <control shapeId="1029" r:id="rId8" name="Drop Down 5">
              <controlPr defaultSize="0" autoLine="0" autoPict="0">
                <anchor moveWithCells="1">
                  <from>
                    <xdr:col>0</xdr:col>
                    <xdr:colOff>2324100</xdr:colOff>
                    <xdr:row>56</xdr:row>
                    <xdr:rowOff>0</xdr:rowOff>
                  </from>
                  <to>
                    <xdr:col>2</xdr:col>
                    <xdr:colOff>152400</xdr:colOff>
                    <xdr:row>57</xdr:row>
                    <xdr:rowOff>50800</xdr:rowOff>
                  </to>
                </anchor>
              </controlPr>
            </control>
          </mc:Choice>
          <mc:Fallback/>
        </mc:AlternateContent>
        <mc:AlternateContent xmlns:mc="http://schemas.openxmlformats.org/markup-compatibility/2006">
          <mc:Choice Requires="x14">
            <control shapeId="1044" r:id="rId9" name="Drop Down 20">
              <controlPr defaultSize="0" autoLine="0" autoPict="0">
                <anchor moveWithCells="1">
                  <from>
                    <xdr:col>0</xdr:col>
                    <xdr:colOff>2324100</xdr:colOff>
                    <xdr:row>57</xdr:row>
                    <xdr:rowOff>177800</xdr:rowOff>
                  </from>
                  <to>
                    <xdr:col>2</xdr:col>
                    <xdr:colOff>152400</xdr:colOff>
                    <xdr:row>59</xdr:row>
                    <xdr:rowOff>38100</xdr:rowOff>
                  </to>
                </anchor>
              </controlPr>
            </control>
          </mc:Choice>
          <mc:Fallback/>
        </mc:AlternateContent>
        <mc:AlternateContent xmlns:mc="http://schemas.openxmlformats.org/markup-compatibility/2006">
          <mc:Choice Requires="x14">
            <control shapeId="1047" r:id="rId10" name="Drop Down 23">
              <controlPr defaultSize="0" autoLine="0" autoPict="0">
                <anchor moveWithCells="1">
                  <from>
                    <xdr:col>3</xdr:col>
                    <xdr:colOff>520700</xdr:colOff>
                    <xdr:row>52</xdr:row>
                    <xdr:rowOff>12700</xdr:rowOff>
                  </from>
                  <to>
                    <xdr:col>6</xdr:col>
                    <xdr:colOff>190500</xdr:colOff>
                    <xdr:row>53</xdr:row>
                    <xdr:rowOff>63500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8"/>
  <sheetViews>
    <sheetView workbookViewId="0">
      <selection activeCell="B72" sqref="B72"/>
    </sheetView>
  </sheetViews>
  <sheetFormatPr baseColWidth="10" defaultRowHeight="15" x14ac:dyDescent="0"/>
  <cols>
    <col min="1" max="1" width="35.1640625" customWidth="1"/>
    <col min="3" max="3" width="14.6640625" customWidth="1"/>
    <col min="4" max="4" width="13.5" customWidth="1"/>
    <col min="11" max="11" width="7.6640625" customWidth="1"/>
    <col min="13" max="14" width="7.1640625" customWidth="1"/>
  </cols>
  <sheetData>
    <row r="2" spans="1:8">
      <c r="A2" s="28" t="str">
        <f>Text!A53</f>
        <v>Material</v>
      </c>
      <c r="B2" s="26" t="str">
        <f>Text!A60</f>
        <v>Density kg/l</v>
      </c>
      <c r="H2" s="1"/>
    </row>
    <row r="3" spans="1:8">
      <c r="A3" s="26" t="str">
        <f>Text!A54</f>
        <v>Steel</v>
      </c>
      <c r="B3">
        <v>7.85</v>
      </c>
    </row>
    <row r="4" spans="1:8">
      <c r="A4" s="26" t="str">
        <f>Text!A55</f>
        <v>Aluminium</v>
      </c>
      <c r="B4">
        <v>2.7</v>
      </c>
    </row>
    <row r="6" spans="1:8">
      <c r="A6" s="28" t="str">
        <f>Text!A56</f>
        <v>Suite</v>
      </c>
      <c r="B6" s="26" t="str">
        <f>Text!A57</f>
        <v>Extra weight to compensate drysuite filling</v>
      </c>
    </row>
    <row r="7" spans="1:8">
      <c r="A7" s="26" t="str">
        <f>Text!A58</f>
        <v>Drysuite</v>
      </c>
      <c r="B7">
        <v>2</v>
      </c>
      <c r="C7" t="s">
        <v>12</v>
      </c>
    </row>
    <row r="8" spans="1:8">
      <c r="A8" s="26" t="str">
        <f>Text!A59</f>
        <v>Wetsuite</v>
      </c>
      <c r="B8">
        <v>0</v>
      </c>
    </row>
    <row r="10" spans="1:8">
      <c r="A10" s="36" t="str">
        <f>Text!A23</f>
        <v>Water:</v>
      </c>
      <c r="B10" s="26" t="str">
        <f>Text!A60</f>
        <v>Density kg/l</v>
      </c>
    </row>
    <row r="11" spans="1:8">
      <c r="A11" s="37" t="str">
        <f>Text!A61</f>
        <v>Fresh Water</v>
      </c>
      <c r="B11">
        <v>1</v>
      </c>
    </row>
    <row r="12" spans="1:8">
      <c r="A12" s="37" t="str">
        <f>Text!A62</f>
        <v>Salt Water</v>
      </c>
      <c r="B12">
        <v>1.03</v>
      </c>
    </row>
    <row r="13" spans="1:8">
      <c r="A13" s="37" t="str">
        <f>Text!A63</f>
        <v>Red Sea</v>
      </c>
      <c r="B13">
        <v>1.042</v>
      </c>
    </row>
    <row r="14" spans="1:8">
      <c r="A14" s="37" t="str">
        <f>Text!A64</f>
        <v>Atlantic/Bering/North Polar/Irish Sea</v>
      </c>
      <c r="B14">
        <v>1.0349999999999999</v>
      </c>
    </row>
    <row r="15" spans="1:8">
      <c r="A15" s="37" t="str">
        <f>Text!A65</f>
        <v>Caspic Sea</v>
      </c>
      <c r="B15">
        <v>1.028</v>
      </c>
      <c r="C15" s="19"/>
    </row>
    <row r="16" spans="1:8">
      <c r="A16" s="37" t="str">
        <f>Text!A66</f>
        <v xml:space="preserve">Mediterrianean Sea </v>
      </c>
      <c r="B16" s="4">
        <v>1039</v>
      </c>
      <c r="C16" s="19"/>
    </row>
    <row r="17" spans="1:3">
      <c r="A17" s="37" t="str">
        <f>Text!A67</f>
        <v>North Sea / Indian Ocean</v>
      </c>
      <c r="B17">
        <v>1.0349999999999999</v>
      </c>
      <c r="C17" s="19"/>
    </row>
    <row r="18" spans="1:3">
      <c r="A18" s="37" t="str">
        <f>Text!A68</f>
        <v>Baltic Sea</v>
      </c>
      <c r="B18">
        <v>1.02</v>
      </c>
      <c r="C18" s="19"/>
    </row>
    <row r="19" spans="1:3">
      <c r="A19" s="37" t="str">
        <f>Text!A69</f>
        <v>Pacific</v>
      </c>
      <c r="B19">
        <v>1.0345</v>
      </c>
      <c r="C19" s="19"/>
    </row>
    <row r="20" spans="1:3">
      <c r="A20" s="37" t="str">
        <f>Text!A70</f>
        <v>Persian Gulf</v>
      </c>
      <c r="B20">
        <v>1.04</v>
      </c>
      <c r="C20" s="19"/>
    </row>
    <row r="21" spans="1:3">
      <c r="A21" s="37" t="str">
        <f>Text!A71</f>
        <v>Black Sea</v>
      </c>
      <c r="B21">
        <v>1.018</v>
      </c>
      <c r="C21" s="19"/>
    </row>
    <row r="22" spans="1:3">
      <c r="A22" s="37" t="str">
        <f>Text!A72</f>
        <v>Death Sea</v>
      </c>
      <c r="B22">
        <v>1.29</v>
      </c>
      <c r="C22" s="19"/>
    </row>
    <row r="23" spans="1:3">
      <c r="C23" s="19"/>
    </row>
    <row r="24" spans="1:3">
      <c r="A24" s="28" t="str">
        <f>Text!A24</f>
        <v>Tank(s):</v>
      </c>
    </row>
    <row r="25" spans="1:3">
      <c r="A25" s="36" t="str">
        <f>Text!A73</f>
        <v>Tank selection</v>
      </c>
    </row>
    <row r="26" spans="1:3">
      <c r="A26" s="37" t="str">
        <f>Text!A74</f>
        <v>Single</v>
      </c>
      <c r="B26">
        <v>1</v>
      </c>
    </row>
    <row r="27" spans="1:3">
      <c r="A27" s="37" t="s">
        <v>180</v>
      </c>
      <c r="B27">
        <v>2</v>
      </c>
    </row>
    <row r="28" spans="1:3">
      <c r="A28" s="37" t="s">
        <v>230</v>
      </c>
      <c r="B28">
        <v>3</v>
      </c>
    </row>
    <row r="29" spans="1:3">
      <c r="A29" s="37" t="s">
        <v>231</v>
      </c>
      <c r="B29">
        <v>4</v>
      </c>
    </row>
    <row r="31" spans="1:3">
      <c r="A31" s="28" t="str">
        <f>Text!A76</f>
        <v>Maximal pressure</v>
      </c>
    </row>
    <row r="32" spans="1:3">
      <c r="A32">
        <v>200</v>
      </c>
    </row>
    <row r="33" spans="1:6">
      <c r="A33">
        <v>230</v>
      </c>
    </row>
    <row r="34" spans="1:6">
      <c r="A34">
        <v>300</v>
      </c>
    </row>
    <row r="36" spans="1:6">
      <c r="A36" s="19"/>
      <c r="B36" s="36" t="str">
        <f>Text!A77</f>
        <v>Steel weight</v>
      </c>
      <c r="D36" s="36" t="str">
        <f>Text!A78</f>
        <v>Aluminium weight</v>
      </c>
      <c r="F36" s="19"/>
    </row>
    <row r="37" spans="1:6">
      <c r="A37" s="38" t="str">
        <f>Text!A79</f>
        <v>Size in liter</v>
      </c>
      <c r="B37" s="23" t="s">
        <v>19</v>
      </c>
      <c r="C37" s="24" t="s">
        <v>20</v>
      </c>
      <c r="D37" s="23" t="s">
        <v>19</v>
      </c>
      <c r="E37" s="24" t="s">
        <v>20</v>
      </c>
      <c r="F37" s="19"/>
    </row>
    <row r="38" spans="1:6">
      <c r="A38" s="11">
        <v>1</v>
      </c>
      <c r="B38" s="11">
        <v>1.6</v>
      </c>
      <c r="C38" t="s">
        <v>36</v>
      </c>
      <c r="D38" s="11" t="s">
        <v>36</v>
      </c>
      <c r="E38" t="s">
        <v>36</v>
      </c>
      <c r="F38" s="19"/>
    </row>
    <row r="39" spans="1:6">
      <c r="A39" s="11">
        <v>1.5</v>
      </c>
      <c r="B39" s="11" t="s">
        <v>36</v>
      </c>
      <c r="C39" t="s">
        <v>36</v>
      </c>
      <c r="D39" s="11">
        <v>2.58</v>
      </c>
      <c r="E39" t="s">
        <v>36</v>
      </c>
      <c r="F39" s="19"/>
    </row>
    <row r="40" spans="1:6">
      <c r="A40" s="11">
        <v>3</v>
      </c>
      <c r="B40" s="11">
        <v>3.2</v>
      </c>
      <c r="C40">
        <v>4.95</v>
      </c>
      <c r="D40" s="11">
        <v>4.5</v>
      </c>
      <c r="E40" t="s">
        <v>36</v>
      </c>
      <c r="F40" s="19"/>
    </row>
    <row r="41" spans="1:6">
      <c r="A41" s="11">
        <v>4</v>
      </c>
      <c r="B41" s="11">
        <v>4.4000000000000004</v>
      </c>
      <c r="C41" t="s">
        <v>36</v>
      </c>
      <c r="D41" s="11" t="s">
        <v>36</v>
      </c>
      <c r="E41" t="s">
        <v>36</v>
      </c>
      <c r="F41" s="19"/>
    </row>
    <row r="42" spans="1:6">
      <c r="A42" s="11">
        <v>5</v>
      </c>
      <c r="B42" s="11">
        <v>6</v>
      </c>
      <c r="C42" t="s">
        <v>36</v>
      </c>
      <c r="D42" s="11" t="s">
        <v>36</v>
      </c>
      <c r="E42" t="s">
        <v>36</v>
      </c>
      <c r="F42" s="19"/>
    </row>
    <row r="43" spans="1:6">
      <c r="A43" s="11">
        <v>6</v>
      </c>
      <c r="B43" s="11" t="s">
        <v>36</v>
      </c>
      <c r="C43">
        <v>9</v>
      </c>
      <c r="D43" s="11">
        <v>8.6</v>
      </c>
      <c r="E43" t="s">
        <v>36</v>
      </c>
      <c r="F43" s="19"/>
    </row>
    <row r="44" spans="1:6">
      <c r="A44" s="11">
        <v>7</v>
      </c>
      <c r="B44" s="11">
        <v>9</v>
      </c>
      <c r="C44">
        <v>11</v>
      </c>
      <c r="D44" s="11">
        <v>9</v>
      </c>
      <c r="E44" t="s">
        <v>36</v>
      </c>
      <c r="F44" s="19"/>
    </row>
    <row r="45" spans="1:6">
      <c r="A45" s="11">
        <v>8</v>
      </c>
      <c r="B45" s="11">
        <v>9.8000000000000007</v>
      </c>
      <c r="C45">
        <v>12.4</v>
      </c>
      <c r="D45" s="11" t="s">
        <v>36</v>
      </c>
      <c r="E45" t="s">
        <v>36</v>
      </c>
      <c r="F45" s="19"/>
    </row>
    <row r="46" spans="1:6">
      <c r="A46" s="11">
        <v>8.5</v>
      </c>
      <c r="B46" s="11">
        <v>11</v>
      </c>
      <c r="C46" t="s">
        <v>36</v>
      </c>
      <c r="D46" s="11" t="s">
        <v>36</v>
      </c>
      <c r="E46" t="s">
        <v>36</v>
      </c>
      <c r="F46" s="19"/>
    </row>
    <row r="47" spans="1:6">
      <c r="A47" s="11">
        <v>10</v>
      </c>
      <c r="B47" s="11">
        <v>12</v>
      </c>
      <c r="C47">
        <v>15.5</v>
      </c>
      <c r="D47" s="11">
        <v>12</v>
      </c>
      <c r="E47" t="s">
        <v>36</v>
      </c>
      <c r="F47" s="19"/>
    </row>
    <row r="48" spans="1:6">
      <c r="A48" s="11">
        <v>11</v>
      </c>
      <c r="B48" s="11" t="s">
        <v>36</v>
      </c>
      <c r="C48" t="s">
        <v>36</v>
      </c>
      <c r="D48" s="11">
        <v>15</v>
      </c>
      <c r="E48" t="s">
        <v>36</v>
      </c>
      <c r="F48" s="19"/>
    </row>
    <row r="49" spans="1:6">
      <c r="A49" s="11">
        <v>12</v>
      </c>
      <c r="B49" s="11">
        <v>15.4</v>
      </c>
      <c r="C49">
        <v>17.899999999999999</v>
      </c>
      <c r="D49" s="11">
        <v>16.5</v>
      </c>
      <c r="E49" t="s">
        <v>36</v>
      </c>
      <c r="F49" s="19"/>
    </row>
    <row r="50" spans="1:6">
      <c r="A50" s="11">
        <v>15</v>
      </c>
      <c r="B50" s="11">
        <v>18</v>
      </c>
      <c r="C50" t="s">
        <v>36</v>
      </c>
      <c r="D50" s="11" t="s">
        <v>36</v>
      </c>
      <c r="E50" t="s">
        <v>36</v>
      </c>
      <c r="F50" s="19"/>
    </row>
    <row r="51" spans="1:6">
      <c r="C51" s="19"/>
      <c r="D51" s="19"/>
      <c r="F51" s="19"/>
    </row>
    <row r="52" spans="1:6">
      <c r="A52" s="28" t="str">
        <f>Text!A80</f>
        <v>Van der Waals force compensation</v>
      </c>
      <c r="C52" s="19"/>
    </row>
    <row r="53" spans="1:6">
      <c r="A53" s="10" t="s">
        <v>8</v>
      </c>
      <c r="B53" s="39" t="str">
        <f>Text!A81</f>
        <v>Factor</v>
      </c>
      <c r="C53" s="19"/>
    </row>
    <row r="54" spans="1:6">
      <c r="A54" s="11">
        <v>60</v>
      </c>
      <c r="B54">
        <v>0.99</v>
      </c>
      <c r="C54" s="19"/>
    </row>
    <row r="55" spans="1:6">
      <c r="A55" s="11">
        <v>100</v>
      </c>
      <c r="B55">
        <v>0.99</v>
      </c>
      <c r="C55" s="19"/>
    </row>
    <row r="56" spans="1:6">
      <c r="A56" s="11">
        <v>150</v>
      </c>
      <c r="B56">
        <v>0.98</v>
      </c>
      <c r="C56" s="19"/>
    </row>
    <row r="57" spans="1:6">
      <c r="A57" s="11">
        <v>180</v>
      </c>
      <c r="B57">
        <v>0.98</v>
      </c>
      <c r="C57" s="19"/>
    </row>
    <row r="58" spans="1:6">
      <c r="A58" s="11">
        <v>200</v>
      </c>
      <c r="B58">
        <v>0.98</v>
      </c>
      <c r="C58" s="19"/>
    </row>
    <row r="59" spans="1:6">
      <c r="A59" s="11">
        <v>230</v>
      </c>
      <c r="B59">
        <v>0.97</v>
      </c>
      <c r="C59" s="19"/>
    </row>
    <row r="60" spans="1:6">
      <c r="A60" s="11">
        <v>270</v>
      </c>
      <c r="B60">
        <v>0.93</v>
      </c>
      <c r="C60" s="19"/>
    </row>
    <row r="61" spans="1:6">
      <c r="A61" s="11">
        <v>300</v>
      </c>
      <c r="B61">
        <v>0.9</v>
      </c>
      <c r="C61" s="19"/>
    </row>
    <row r="63" spans="1:6">
      <c r="A63" s="28" t="str">
        <f>Text!A82</f>
        <v>Weight of Air</v>
      </c>
      <c r="B63">
        <v>1.2600000000000001E-3</v>
      </c>
      <c r="C63" t="s">
        <v>17</v>
      </c>
    </row>
    <row r="65" spans="1:4">
      <c r="A65" s="28" t="str">
        <f>Text!A83</f>
        <v>Selections</v>
      </c>
      <c r="B65" t="s">
        <v>21</v>
      </c>
      <c r="C65" s="26" t="str">
        <f>Text!A84</f>
        <v>Value</v>
      </c>
    </row>
    <row r="66" spans="1:4">
      <c r="A66" s="26" t="str">
        <f>Text!A85</f>
        <v>Material Tank</v>
      </c>
      <c r="B66">
        <v>2</v>
      </c>
      <c r="C66">
        <f>INDEX(B3:B4,B66)</f>
        <v>2.7</v>
      </c>
      <c r="D66" t="s">
        <v>54</v>
      </c>
    </row>
    <row r="67" spans="1:4">
      <c r="A67" s="26" t="str">
        <f>Text!A86</f>
        <v>Water salt data</v>
      </c>
      <c r="B67">
        <v>3</v>
      </c>
      <c r="C67">
        <f>INDEX(B11:B22,B67)</f>
        <v>1.042</v>
      </c>
      <c r="D67" t="s">
        <v>54</v>
      </c>
    </row>
    <row r="68" spans="1:4">
      <c r="A68" s="26" t="str">
        <f>Text!A87</f>
        <v>Amount</v>
      </c>
      <c r="B68">
        <v>2</v>
      </c>
      <c r="C68">
        <f>INDEX(B26:B29,B68)</f>
        <v>2</v>
      </c>
    </row>
    <row r="69" spans="1:4">
      <c r="A69" s="26" t="str">
        <f>Text!A88</f>
        <v>Size</v>
      </c>
      <c r="B69">
        <v>11</v>
      </c>
      <c r="C69">
        <f>INDEX(A38:A50,B69)</f>
        <v>11</v>
      </c>
      <c r="D69" t="s">
        <v>55</v>
      </c>
    </row>
    <row r="70" spans="1:4">
      <c r="A70" s="26" t="str">
        <f>Text!A89</f>
        <v>Tanktype, Bar full</v>
      </c>
      <c r="B70">
        <v>1</v>
      </c>
      <c r="C70">
        <f>INDEX(A32:A34,B70)</f>
        <v>200</v>
      </c>
      <c r="D70" t="s">
        <v>10</v>
      </c>
    </row>
    <row r="71" spans="1:4">
      <c r="A71" s="26" t="str">
        <f>Text!A90</f>
        <v>Weight tank + everything</v>
      </c>
      <c r="B71">
        <f>IF(B66=1,IF(C70&lt;=230,INDEX(B38:B50,B69),INDEX(C38:C50,B69)),IF(C70&lt;=230,INDEX(D38:D50,B69),INDEX(E38:E50,B69)))</f>
        <v>15</v>
      </c>
      <c r="C71">
        <f>B71*C68</f>
        <v>30</v>
      </c>
      <c r="D71" t="s">
        <v>12</v>
      </c>
    </row>
    <row r="72" spans="1:4">
      <c r="A72" s="26" t="str">
        <f>Text!A91</f>
        <v>Weight tank corrected</v>
      </c>
      <c r="C72">
        <f>C71+Rig!E63</f>
        <v>30</v>
      </c>
      <c r="D72" t="s">
        <v>12</v>
      </c>
    </row>
    <row r="73" spans="1:4">
      <c r="A73" s="26" t="str">
        <f>Text!A92</f>
        <v>Actual bar in tank</v>
      </c>
      <c r="B73">
        <v>2</v>
      </c>
      <c r="C73">
        <f>INDEX(A54:A61,B73)</f>
        <v>100</v>
      </c>
      <c r="D73" t="s">
        <v>10</v>
      </c>
    </row>
    <row r="74" spans="1:4">
      <c r="A74" s="26" t="str">
        <f>Text!A93</f>
        <v>Van der Waals force compensation, actual</v>
      </c>
      <c r="C74">
        <f>INDEX(B54:B61,B73)</f>
        <v>0.99</v>
      </c>
    </row>
    <row r="75" spans="1:4">
      <c r="A75" s="26" t="str">
        <f>Text!A94</f>
        <v>Van der Waals force compensation, full</v>
      </c>
      <c r="C75">
        <f>LOOKUP(C70,A54:A61,B54:B61)</f>
        <v>0.98</v>
      </c>
    </row>
    <row r="76" spans="1:4">
      <c r="A76" s="26" t="str">
        <f>Text!A95</f>
        <v>Suite type, extra weight</v>
      </c>
      <c r="B76">
        <v>1</v>
      </c>
      <c r="C76">
        <f>INDEX(B7:B8,B76)</f>
        <v>2</v>
      </c>
      <c r="D76" t="s">
        <v>12</v>
      </c>
    </row>
    <row r="78" spans="1:4">
      <c r="A78" s="28" t="str">
        <f>Text!A96</f>
        <v>Calculations</v>
      </c>
    </row>
    <row r="79" spans="1:4">
      <c r="A79" s="26" t="str">
        <f>Text!A97</f>
        <v>Tank liter</v>
      </c>
      <c r="B79">
        <f>C69*C68</f>
        <v>22</v>
      </c>
      <c r="C79" t="s">
        <v>55</v>
      </c>
    </row>
    <row r="80" spans="1:4">
      <c r="A80" s="26" t="str">
        <f>Text!A98</f>
        <v>Volume tank (material)</v>
      </c>
      <c r="B80">
        <f>C72/C66</f>
        <v>11.111111111111111</v>
      </c>
      <c r="C80" t="s">
        <v>55</v>
      </c>
    </row>
    <row r="81" spans="1:3">
      <c r="A81" s="26" t="str">
        <f>Text!A99</f>
        <v>Volume tank (material+content)</v>
      </c>
      <c r="B81">
        <f>B80+B79</f>
        <v>33.111111111111114</v>
      </c>
      <c r="C81" t="s">
        <v>55</v>
      </c>
    </row>
    <row r="82" spans="1:3">
      <c r="A82" s="26" t="str">
        <f>Text!A100</f>
        <v>Bouyancy of tank material</v>
      </c>
      <c r="B82">
        <f>B81*C67</f>
        <v>34.501777777777782</v>
      </c>
      <c r="C82" t="s">
        <v>12</v>
      </c>
    </row>
    <row r="83" spans="1:3">
      <c r="A83" s="26" t="str">
        <f>Text!A101</f>
        <v>Bouyancy of empty tank</v>
      </c>
      <c r="B83">
        <f>B82-C72</f>
        <v>4.5017777777777823</v>
      </c>
      <c r="C83" t="s">
        <v>12</v>
      </c>
    </row>
    <row r="84" spans="1:3">
      <c r="A84" s="26" t="str">
        <f>Text!A102</f>
        <v>Content of tank, full</v>
      </c>
      <c r="B84">
        <f>B79*C70*C75</f>
        <v>4312</v>
      </c>
      <c r="C84" t="s">
        <v>59</v>
      </c>
    </row>
    <row r="85" spans="1:3">
      <c r="A85" s="26" t="str">
        <f>Text!A103</f>
        <v>Content weight, full</v>
      </c>
      <c r="B85">
        <f>B63*B84</f>
        <v>5.4331200000000006</v>
      </c>
      <c r="C85" t="s">
        <v>12</v>
      </c>
    </row>
    <row r="86" spans="1:3">
      <c r="A86" s="26" t="str">
        <f>Text!A104</f>
        <v>Content of tank, actual</v>
      </c>
      <c r="B86">
        <f>B79*C73*C74</f>
        <v>2178</v>
      </c>
      <c r="C86" t="s">
        <v>59</v>
      </c>
    </row>
    <row r="87" spans="1:3">
      <c r="A87" s="26" t="str">
        <f>Text!A105</f>
        <v>Content weight, actual</v>
      </c>
      <c r="B87">
        <f>B86*B63</f>
        <v>2.7442800000000003</v>
      </c>
      <c r="C87" t="s">
        <v>12</v>
      </c>
    </row>
    <row r="88" spans="1:3">
      <c r="A88" s="26" t="str">
        <f>Text!A106</f>
        <v>Bouyancy of full tank</v>
      </c>
      <c r="B88">
        <f>B83-B85</f>
        <v>-0.9313422222222183</v>
      </c>
      <c r="C88" t="s">
        <v>12</v>
      </c>
    </row>
    <row r="89" spans="1:3">
      <c r="A89" s="26" t="str">
        <f>Text!A107</f>
        <v>Bouyancy of tank with current filling</v>
      </c>
      <c r="B89">
        <f>B83-B87</f>
        <v>1.757497777777782</v>
      </c>
      <c r="C89" t="s">
        <v>12</v>
      </c>
    </row>
    <row r="90" spans="1:3">
      <c r="A90" s="26" t="str">
        <f>Text!A108</f>
        <v>Size of reserve (50bar)</v>
      </c>
      <c r="B90" s="5">
        <f>B84*(50*100/C70)/100</f>
        <v>1078</v>
      </c>
      <c r="C90" t="s">
        <v>59</v>
      </c>
    </row>
    <row r="91" spans="1:3">
      <c r="A91" s="26" t="str">
        <f>Text!A109</f>
        <v>How much would be the perfect weight</v>
      </c>
      <c r="B91" s="5">
        <f>ABS(Rig!B102)-Data!C76</f>
        <v>0.49822222222221768</v>
      </c>
      <c r="C91" t="s">
        <v>12</v>
      </c>
    </row>
    <row r="92" spans="1:3">
      <c r="B92" s="5"/>
    </row>
    <row r="93" spans="1:3">
      <c r="A93" t="str">
        <f>CONCATENATE(Text!A110," (",C70," bar)")</f>
        <v>Full (200 bar)</v>
      </c>
    </row>
    <row r="94" spans="1:3">
      <c r="A94" t="str">
        <f>CONCATENATE(Text!A111," ", C73, " bar")</f>
        <v>Actual with 100 bar</v>
      </c>
    </row>
    <row r="95" spans="1:3">
      <c r="A95" t="str">
        <f>CONCATENATE(Text!A113," (+",ROUND($B$91,1)," kg) ",A98)</f>
        <v>Perfectly weighted! (+0,5 kg) (2 kg for drysuite filling)</v>
      </c>
    </row>
    <row r="96" spans="1:3">
      <c r="A96" t="str">
        <f>CONCATENATE(Text!A114," (+",ROUND($B$91,1)," kg) ",A98)</f>
        <v>Ok weighted! (+0,5 kg) (2 kg for drysuite filling)</v>
      </c>
    </row>
    <row r="97" spans="1:1">
      <c r="A97" t="str">
        <f>CONCATENATE(Text!A115," (+",ROUND($B$91,1)," kg) ",A98)</f>
        <v>WARNING: Too much weight! (+0,5 kg) (2 kg for drysuite filling)</v>
      </c>
    </row>
    <row r="98" spans="1:1">
      <c r="A98" t="str">
        <f>CONCATENATE("(",C76," kg ",Text!A112,")")</f>
        <v>(2 kg for drysuite filling)</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5"/>
  <sheetViews>
    <sheetView workbookViewId="0">
      <selection activeCell="C12" sqref="C12"/>
    </sheetView>
  </sheetViews>
  <sheetFormatPr baseColWidth="10" defaultRowHeight="15" x14ac:dyDescent="0"/>
  <cols>
    <col min="1" max="1" width="51.33203125" style="26" customWidth="1"/>
    <col min="2" max="2" width="56.6640625" style="25" customWidth="1"/>
    <col min="3" max="3" width="49.83203125" style="27" customWidth="1"/>
  </cols>
  <sheetData>
    <row r="1" spans="1:3">
      <c r="A1" s="26" t="s">
        <v>114</v>
      </c>
      <c r="B1" s="25" t="s">
        <v>113</v>
      </c>
    </row>
    <row r="2" spans="1:3">
      <c r="A2" s="26">
        <v>1</v>
      </c>
      <c r="B2" s="25" t="s">
        <v>115</v>
      </c>
    </row>
    <row r="3" spans="1:3">
      <c r="A3" s="26">
        <v>2</v>
      </c>
      <c r="B3" s="25" t="s">
        <v>116</v>
      </c>
    </row>
    <row r="6" spans="1:3">
      <c r="A6" s="26" t="s">
        <v>117</v>
      </c>
      <c r="B6" s="25">
        <v>2</v>
      </c>
    </row>
    <row r="8" spans="1:3">
      <c r="A8" s="28" t="s">
        <v>118</v>
      </c>
      <c r="B8" s="29" t="s">
        <v>115</v>
      </c>
      <c r="C8" s="29" t="s">
        <v>116</v>
      </c>
    </row>
    <row r="9" spans="1:3">
      <c r="A9" s="26" t="str">
        <f>IF($B$6=1,B9,C9)</f>
        <v xml:space="preserve">Balanced Rig - Tank &amp; BCD size - Weight calculation </v>
      </c>
      <c r="B9" s="25" t="s">
        <v>109</v>
      </c>
      <c r="C9" s="27" t="s">
        <v>119</v>
      </c>
    </row>
    <row r="10" spans="1:3">
      <c r="A10" s="26" t="str">
        <f t="shared" ref="A10:A72" si="0">IF($B$6=1,B10,C10)</f>
        <v>Excel by benjamin@pannier.org</v>
      </c>
      <c r="B10" s="25" t="s">
        <v>121</v>
      </c>
      <c r="C10" s="27" t="s">
        <v>120</v>
      </c>
    </row>
    <row r="11" spans="1:3" ht="30">
      <c r="A11" s="26" t="str">
        <f t="shared" si="0"/>
        <v>Please, enter/correct data in red fields and dropdown selections:</v>
      </c>
      <c r="B11" s="25" t="s">
        <v>122</v>
      </c>
      <c r="C11" s="27" t="s">
        <v>242</v>
      </c>
    </row>
    <row r="12" spans="1:3">
      <c r="A12" s="26" t="str">
        <f t="shared" si="0"/>
        <v>(positive + and negative - bouyancy, see Box for examples)</v>
      </c>
      <c r="B12" s="25" t="s">
        <v>108</v>
      </c>
      <c r="C12" s="27" t="s">
        <v>124</v>
      </c>
    </row>
    <row r="13" spans="1:3">
      <c r="A13" s="26" t="str">
        <f t="shared" si="0"/>
        <v>Equipment weight:</v>
      </c>
      <c r="B13" s="25" t="s">
        <v>106</v>
      </c>
      <c r="C13" s="27" t="s">
        <v>125</v>
      </c>
    </row>
    <row r="14" spans="1:3">
      <c r="A14" s="26" t="str">
        <f t="shared" si="0"/>
        <v>Backplate/Jacket:</v>
      </c>
      <c r="B14" s="27" t="s">
        <v>66</v>
      </c>
      <c r="C14" s="27" t="s">
        <v>66</v>
      </c>
    </row>
    <row r="15" spans="1:3">
      <c r="A15" s="26" t="str">
        <f t="shared" si="0"/>
        <v>Regulators:</v>
      </c>
      <c r="B15" s="27" t="s">
        <v>25</v>
      </c>
      <c r="C15" s="27" t="s">
        <v>126</v>
      </c>
    </row>
    <row r="16" spans="1:3">
      <c r="A16" s="26" t="str">
        <f t="shared" si="0"/>
        <v>Torches:</v>
      </c>
      <c r="B16" s="27" t="s">
        <v>26</v>
      </c>
      <c r="C16" s="27" t="s">
        <v>127</v>
      </c>
    </row>
    <row r="17" spans="1:3">
      <c r="A17" s="26" t="str">
        <f t="shared" si="0"/>
        <v>Anything else:</v>
      </c>
      <c r="B17" s="27" t="s">
        <v>27</v>
      </c>
      <c r="C17" s="27" t="s">
        <v>128</v>
      </c>
    </row>
    <row r="18" spans="1:3">
      <c r="A18" s="26" t="str">
        <f t="shared" si="0"/>
        <v>Jacket/Wing size</v>
      </c>
      <c r="B18" s="25" t="s">
        <v>107</v>
      </c>
      <c r="C18" s="27" t="s">
        <v>129</v>
      </c>
    </row>
    <row r="19" spans="1:3">
      <c r="A19" s="26" t="str">
        <f t="shared" si="0"/>
        <v>Maxim lift capacity:</v>
      </c>
      <c r="B19" s="27" t="s">
        <v>91</v>
      </c>
      <c r="C19" s="27" t="s">
        <v>130</v>
      </c>
    </row>
    <row r="20" spans="1:3">
      <c r="A20" s="26" t="str">
        <f t="shared" si="0"/>
        <v>equal to</v>
      </c>
      <c r="B20" s="25" t="s">
        <v>39</v>
      </c>
      <c r="C20" s="27" t="s">
        <v>131</v>
      </c>
    </row>
    <row r="21" spans="1:3">
      <c r="A21" s="26" t="str">
        <f t="shared" si="0"/>
        <v>Suite:</v>
      </c>
      <c r="B21" s="25" t="s">
        <v>29</v>
      </c>
      <c r="C21" s="27" t="s">
        <v>132</v>
      </c>
    </row>
    <row r="22" spans="1:3">
      <c r="A22" s="26" t="str">
        <f t="shared" si="0"/>
        <v>Creates positive bouyancy:</v>
      </c>
      <c r="B22" s="27" t="s">
        <v>32</v>
      </c>
      <c r="C22" s="27" t="s">
        <v>241</v>
      </c>
    </row>
    <row r="23" spans="1:3">
      <c r="A23" s="26" t="str">
        <f t="shared" si="0"/>
        <v>Water:</v>
      </c>
      <c r="B23" s="25" t="s">
        <v>37</v>
      </c>
      <c r="C23" s="27" t="s">
        <v>133</v>
      </c>
    </row>
    <row r="24" spans="1:3">
      <c r="A24" s="26" t="str">
        <f t="shared" si="0"/>
        <v>Tank(s):</v>
      </c>
      <c r="B24" s="25" t="s">
        <v>28</v>
      </c>
      <c r="C24" s="27" t="s">
        <v>134</v>
      </c>
    </row>
    <row r="25" spans="1:3">
      <c r="A25" s="26" t="str">
        <f t="shared" si="0"/>
        <v>Material</v>
      </c>
      <c r="B25" s="25" t="s">
        <v>0</v>
      </c>
      <c r="C25" s="27" t="s">
        <v>0</v>
      </c>
    </row>
    <row r="26" spans="1:3">
      <c r="A26" s="26" t="str">
        <f t="shared" si="0"/>
        <v>Size</v>
      </c>
      <c r="B26" s="25" t="s">
        <v>7</v>
      </c>
      <c r="C26" s="27" t="s">
        <v>135</v>
      </c>
    </row>
    <row r="27" spans="1:3">
      <c r="A27" s="26" t="str">
        <f t="shared" si="0"/>
        <v>Actual filled with</v>
      </c>
      <c r="B27" s="27" t="s">
        <v>82</v>
      </c>
      <c r="C27" s="27" t="s">
        <v>136</v>
      </c>
    </row>
    <row r="28" spans="1:3">
      <c r="A28" s="26" t="str">
        <f t="shared" si="0"/>
        <v>Admitted for max</v>
      </c>
      <c r="B28" s="27" t="s">
        <v>239</v>
      </c>
      <c r="C28" s="27" t="s">
        <v>240</v>
      </c>
    </row>
    <row r="29" spans="1:3">
      <c r="A29" s="26" t="str">
        <f t="shared" si="0"/>
        <v>Tank weight:</v>
      </c>
      <c r="B29" s="25" t="s">
        <v>52</v>
      </c>
      <c r="C29" s="27" t="s">
        <v>137</v>
      </c>
    </row>
    <row r="30" spans="1:3">
      <c r="A30" s="26" t="str">
        <f t="shared" si="0"/>
        <v>Empty</v>
      </c>
      <c r="B30" s="27" t="s">
        <v>35</v>
      </c>
      <c r="C30" s="27" t="s">
        <v>138</v>
      </c>
    </row>
    <row r="31" spans="1:3">
      <c r="A31" s="26" t="str">
        <f t="shared" si="0"/>
        <v>Empty corrected</v>
      </c>
      <c r="B31" s="27" t="s">
        <v>103</v>
      </c>
      <c r="C31" s="27" t="s">
        <v>139</v>
      </c>
    </row>
    <row r="32" spans="1:3">
      <c r="A32" s="26" t="str">
        <f t="shared" si="0"/>
        <v>Correction:</v>
      </c>
      <c r="B32" s="27" t="s">
        <v>102</v>
      </c>
      <c r="C32" s="27" t="s">
        <v>140</v>
      </c>
    </row>
    <row r="33" spans="1:3" ht="30">
      <c r="A33" s="26" t="str">
        <f t="shared" si="0"/>
        <v>(If the given weight does not correlate with actual weight of your tank(s), give a correction +- number)</v>
      </c>
      <c r="B33" s="27" t="s">
        <v>105</v>
      </c>
      <c r="C33" s="27" t="s">
        <v>141</v>
      </c>
    </row>
    <row r="34" spans="1:3">
      <c r="A34" s="26" t="str">
        <f t="shared" si="0"/>
        <v>Tank gasvolume</v>
      </c>
      <c r="B34" s="25" t="s">
        <v>80</v>
      </c>
      <c r="C34" s="27" t="s">
        <v>142</v>
      </c>
    </row>
    <row r="35" spans="1:3">
      <c r="A35" s="26" t="str">
        <f t="shared" si="0"/>
        <v>Weight:</v>
      </c>
      <c r="B35" s="27" t="s">
        <v>11</v>
      </c>
      <c r="C35" s="27" t="s">
        <v>143</v>
      </c>
    </row>
    <row r="36" spans="1:3" ht="30">
      <c r="A36" s="26" t="str">
        <f t="shared" si="0"/>
        <v>Gas usage / approximated max dive duration with actual gas filling</v>
      </c>
      <c r="B36" s="25" t="s">
        <v>97</v>
      </c>
      <c r="C36" s="27" t="s">
        <v>144</v>
      </c>
    </row>
    <row r="37" spans="1:3">
      <c r="A37" s="26" t="str">
        <f t="shared" si="0"/>
        <v>SAC rate average</v>
      </c>
      <c r="B37" s="27" t="s">
        <v>73</v>
      </c>
      <c r="C37" s="27" t="s">
        <v>145</v>
      </c>
    </row>
    <row r="38" spans="1:3" ht="30">
      <c r="A38" s="26" t="str">
        <f t="shared" si="0"/>
        <v>CAUTION! Given times are just approximated and you have to do a real dive planning!</v>
      </c>
      <c r="B38" s="27" t="s">
        <v>81</v>
      </c>
      <c r="C38" s="27" t="s">
        <v>214</v>
      </c>
    </row>
    <row r="39" spans="1:3">
      <c r="A39" s="26" t="str">
        <f t="shared" si="0"/>
        <v>Max depth in meters</v>
      </c>
      <c r="B39" s="25" t="s">
        <v>95</v>
      </c>
      <c r="C39" s="27" t="s">
        <v>146</v>
      </c>
    </row>
    <row r="40" spans="1:3">
      <c r="A40" s="26" t="str">
        <f t="shared" si="0"/>
        <v>Time in minutes until tank is completely empty</v>
      </c>
      <c r="B40" s="25" t="s">
        <v>51</v>
      </c>
      <c r="C40" s="27" t="s">
        <v>147</v>
      </c>
    </row>
    <row r="41" spans="1:3" ht="30">
      <c r="A41" s="26" t="str">
        <f t="shared" si="0"/>
        <v>(10 meter/min descend - 9 meter/min ascend - 3 min safety stop - Reserve - BCD filling)</v>
      </c>
      <c r="B41" s="40" t="s">
        <v>99</v>
      </c>
      <c r="C41" s="27" t="s">
        <v>148</v>
      </c>
    </row>
    <row r="42" spans="1:3">
      <c r="A42" s="26" t="str">
        <f t="shared" si="0"/>
        <v>Tank bouyancy:</v>
      </c>
      <c r="B42" s="25" t="s">
        <v>34</v>
      </c>
      <c r="C42" s="27" t="s">
        <v>149</v>
      </c>
    </row>
    <row r="43" spans="1:3">
      <c r="A43" s="26" t="str">
        <f t="shared" si="0"/>
        <v>Bouyancy rig &amp; equipment without Weight but with suite:</v>
      </c>
      <c r="B43" s="25" t="s">
        <v>94</v>
      </c>
      <c r="C43" s="27" t="s">
        <v>150</v>
      </c>
    </row>
    <row r="44" spans="1:3">
      <c r="A44" s="26" t="str">
        <f t="shared" si="0"/>
        <v>Weight minimum:</v>
      </c>
      <c r="B44" s="25" t="s">
        <v>33</v>
      </c>
      <c r="C44" s="27" t="s">
        <v>151</v>
      </c>
    </row>
    <row r="45" spans="1:3">
      <c r="A45" s="26" t="str">
        <f t="shared" si="0"/>
        <v>Rounded:</v>
      </c>
      <c r="B45" s="25" t="s">
        <v>38</v>
      </c>
      <c r="C45" s="27" t="s">
        <v>152</v>
      </c>
    </row>
    <row r="46" spans="1:3">
      <c r="A46" s="26" t="str">
        <f t="shared" si="0"/>
        <v>ddeeeble</v>
      </c>
      <c r="B46" s="25" t="s">
        <v>123</v>
      </c>
      <c r="C46" s="27" t="s">
        <v>153</v>
      </c>
    </row>
    <row r="47" spans="1:3">
      <c r="A47" s="26" t="str">
        <f t="shared" si="0"/>
        <v>Bouyancy without suite with weight on rig and equipment</v>
      </c>
      <c r="B47" s="25" t="s">
        <v>78</v>
      </c>
      <c r="C47" s="27" t="s">
        <v>154</v>
      </c>
    </row>
    <row r="48" spans="1:3" ht="30">
      <c r="A48" s="26" t="str">
        <f t="shared" si="0"/>
        <v>Minimal needed bouyancy in BCD if suite does not create any bouyancy</v>
      </c>
      <c r="B48" s="25" t="s">
        <v>111</v>
      </c>
      <c r="C48" s="27" t="s">
        <v>215</v>
      </c>
    </row>
    <row r="49" spans="1:3">
      <c r="A49" s="26" t="str">
        <f t="shared" si="0"/>
        <v>Bouyancy value compared to BCD lift size</v>
      </c>
      <c r="B49" s="27" t="s">
        <v>93</v>
      </c>
      <c r="C49" s="27" t="s">
        <v>155</v>
      </c>
    </row>
    <row r="50" spans="1:3">
      <c r="A50" s="26" t="str">
        <f t="shared" si="0"/>
        <v>Total bouyancy with suite, rig, equipment and weight</v>
      </c>
      <c r="B50" s="25" t="s">
        <v>79</v>
      </c>
      <c r="C50" s="27" t="s">
        <v>156</v>
      </c>
    </row>
    <row r="51" spans="1:3" ht="45">
      <c r="A51" s="26" t="str">
        <f t="shared" si="0"/>
        <v>Gas volume usage for BCD to create positive bouyancy without suite, with actual tank filling (+10%)</v>
      </c>
      <c r="B51" s="25" t="s">
        <v>110</v>
      </c>
      <c r="C51" s="27" t="s">
        <v>157</v>
      </c>
    </row>
    <row r="52" spans="1:3">
      <c r="A52" s="26" t="str">
        <f t="shared" si="0"/>
        <v>Depth in meter</v>
      </c>
      <c r="B52" s="25" t="s">
        <v>53</v>
      </c>
      <c r="C52" s="27" t="s">
        <v>158</v>
      </c>
    </row>
    <row r="53" spans="1:3">
      <c r="A53" s="26" t="s">
        <v>0</v>
      </c>
      <c r="B53" s="25" t="s">
        <v>0</v>
      </c>
      <c r="C53" s="27" t="s">
        <v>0</v>
      </c>
    </row>
    <row r="54" spans="1:3">
      <c r="A54" s="26" t="str">
        <f t="shared" si="0"/>
        <v>Steel</v>
      </c>
      <c r="B54" s="27" t="s">
        <v>1</v>
      </c>
      <c r="C54" s="27" t="s">
        <v>159</v>
      </c>
    </row>
    <row r="55" spans="1:3">
      <c r="A55" s="26" t="str">
        <f t="shared" si="0"/>
        <v>Aluminium</v>
      </c>
      <c r="B55" s="27" t="s">
        <v>2</v>
      </c>
      <c r="C55" s="27" t="s">
        <v>160</v>
      </c>
    </row>
    <row r="56" spans="1:3">
      <c r="A56" s="26" t="str">
        <f t="shared" si="0"/>
        <v>Suite</v>
      </c>
      <c r="B56" s="25" t="s">
        <v>83</v>
      </c>
      <c r="C56" s="27" t="s">
        <v>161</v>
      </c>
    </row>
    <row r="57" spans="1:3">
      <c r="A57" s="26" t="str">
        <f t="shared" si="0"/>
        <v>Extra weight to compensate drysuite filling</v>
      </c>
      <c r="B57" s="27" t="s">
        <v>63</v>
      </c>
      <c r="C57" s="27" t="s">
        <v>162</v>
      </c>
    </row>
    <row r="58" spans="1:3">
      <c r="A58" s="26" t="str">
        <f t="shared" si="0"/>
        <v>Drysuite</v>
      </c>
      <c r="B58" s="27" t="s">
        <v>61</v>
      </c>
      <c r="C58" s="27" t="s">
        <v>163</v>
      </c>
    </row>
    <row r="59" spans="1:3">
      <c r="A59" s="26" t="str">
        <f t="shared" si="0"/>
        <v>Wetsuite</v>
      </c>
      <c r="B59" s="27" t="s">
        <v>62</v>
      </c>
      <c r="C59" s="27" t="s">
        <v>164</v>
      </c>
    </row>
    <row r="60" spans="1:3">
      <c r="A60" s="26" t="str">
        <f t="shared" si="0"/>
        <v>Density kg/l</v>
      </c>
      <c r="B60" s="27" t="s">
        <v>90</v>
      </c>
      <c r="C60" s="27" t="s">
        <v>165</v>
      </c>
    </row>
    <row r="61" spans="1:3">
      <c r="A61" s="26" t="str">
        <f t="shared" si="0"/>
        <v>Fresh Water</v>
      </c>
      <c r="B61" s="40" t="s">
        <v>3</v>
      </c>
      <c r="C61" s="27" t="s">
        <v>166</v>
      </c>
    </row>
    <row r="62" spans="1:3">
      <c r="A62" s="26" t="str">
        <f t="shared" si="0"/>
        <v>Salt Water</v>
      </c>
      <c r="B62" s="40" t="s">
        <v>4</v>
      </c>
      <c r="C62" s="27" t="s">
        <v>167</v>
      </c>
    </row>
    <row r="63" spans="1:3">
      <c r="A63" s="26" t="str">
        <f t="shared" si="0"/>
        <v>Red Sea</v>
      </c>
      <c r="B63" s="40" t="s">
        <v>42</v>
      </c>
      <c r="C63" s="27" t="s">
        <v>168</v>
      </c>
    </row>
    <row r="64" spans="1:3">
      <c r="A64" s="26" t="str">
        <f t="shared" si="0"/>
        <v>Atlantic/Bering/North Polar/Irish Sea</v>
      </c>
      <c r="B64" s="40" t="s">
        <v>49</v>
      </c>
      <c r="C64" s="27" t="s">
        <v>169</v>
      </c>
    </row>
    <row r="65" spans="1:3">
      <c r="A65" s="26" t="str">
        <f t="shared" si="0"/>
        <v>Caspic Sea</v>
      </c>
      <c r="B65" s="40" t="s">
        <v>43</v>
      </c>
      <c r="C65" s="27" t="s">
        <v>170</v>
      </c>
    </row>
    <row r="66" spans="1:3">
      <c r="A66" s="26" t="str">
        <f t="shared" si="0"/>
        <v xml:space="preserve">Mediterrianean Sea </v>
      </c>
      <c r="B66" s="40" t="s">
        <v>44</v>
      </c>
      <c r="C66" s="27" t="s">
        <v>171</v>
      </c>
    </row>
    <row r="67" spans="1:3">
      <c r="A67" s="26" t="str">
        <f t="shared" si="0"/>
        <v>North Sea / Indian Ocean</v>
      </c>
      <c r="B67" s="40" t="s">
        <v>112</v>
      </c>
      <c r="C67" s="27" t="s">
        <v>172</v>
      </c>
    </row>
    <row r="68" spans="1:3">
      <c r="A68" s="26" t="str">
        <f t="shared" si="0"/>
        <v>Baltic Sea</v>
      </c>
      <c r="B68" s="40" t="s">
        <v>45</v>
      </c>
      <c r="C68" s="27" t="s">
        <v>173</v>
      </c>
    </row>
    <row r="69" spans="1:3">
      <c r="A69" s="26" t="str">
        <f t="shared" si="0"/>
        <v>Pacific</v>
      </c>
      <c r="B69" s="40" t="s">
        <v>46</v>
      </c>
      <c r="C69" s="27" t="s">
        <v>174</v>
      </c>
    </row>
    <row r="70" spans="1:3">
      <c r="A70" s="26" t="str">
        <f t="shared" si="0"/>
        <v>Persian Gulf</v>
      </c>
      <c r="B70" s="40" t="s">
        <v>96</v>
      </c>
      <c r="C70" s="27" t="s">
        <v>175</v>
      </c>
    </row>
    <row r="71" spans="1:3">
      <c r="A71" s="26" t="str">
        <f t="shared" si="0"/>
        <v>Black Sea</v>
      </c>
      <c r="B71" s="40" t="s">
        <v>47</v>
      </c>
      <c r="C71" s="27" t="s">
        <v>176</v>
      </c>
    </row>
    <row r="72" spans="1:3">
      <c r="A72" s="26" t="str">
        <f t="shared" si="0"/>
        <v>Death Sea</v>
      </c>
      <c r="B72" s="40" t="s">
        <v>48</v>
      </c>
      <c r="C72" s="27" t="s">
        <v>177</v>
      </c>
    </row>
    <row r="73" spans="1:3">
      <c r="A73" s="26" t="str">
        <f t="shared" ref="A73:A125" si="1">IF($B$6=1,B73,C73)</f>
        <v>Tank selection</v>
      </c>
      <c r="B73" s="35" t="s">
        <v>84</v>
      </c>
      <c r="C73" s="27" t="s">
        <v>178</v>
      </c>
    </row>
    <row r="74" spans="1:3">
      <c r="A74" s="26" t="str">
        <f t="shared" si="1"/>
        <v>Single</v>
      </c>
      <c r="B74" s="40" t="s">
        <v>5</v>
      </c>
      <c r="C74" s="27" t="s">
        <v>179</v>
      </c>
    </row>
    <row r="75" spans="1:3">
      <c r="A75" s="26" t="str">
        <f t="shared" si="1"/>
        <v>Twin</v>
      </c>
      <c r="B75" s="40" t="s">
        <v>6</v>
      </c>
      <c r="C75" s="27" t="s">
        <v>180</v>
      </c>
    </row>
    <row r="76" spans="1:3">
      <c r="A76" s="26" t="str">
        <f t="shared" si="1"/>
        <v>Maximal pressure</v>
      </c>
      <c r="B76" s="25" t="s">
        <v>86</v>
      </c>
      <c r="C76" s="27" t="s">
        <v>181</v>
      </c>
    </row>
    <row r="77" spans="1:3">
      <c r="A77" s="26" t="str">
        <f t="shared" si="1"/>
        <v>Steel weight</v>
      </c>
      <c r="B77" s="25" t="s">
        <v>23</v>
      </c>
      <c r="C77" s="27" t="s">
        <v>182</v>
      </c>
    </row>
    <row r="78" spans="1:3">
      <c r="A78" s="26" t="str">
        <f t="shared" si="1"/>
        <v>Aluminium weight</v>
      </c>
      <c r="B78" s="25" t="s">
        <v>24</v>
      </c>
      <c r="C78" s="27" t="s">
        <v>183</v>
      </c>
    </row>
    <row r="79" spans="1:3">
      <c r="A79" s="26" t="str">
        <f t="shared" si="1"/>
        <v>Size in liter</v>
      </c>
      <c r="B79" s="25" t="s">
        <v>85</v>
      </c>
      <c r="C79" s="27" t="s">
        <v>184</v>
      </c>
    </row>
    <row r="80" spans="1:3">
      <c r="A80" s="26" t="str">
        <f t="shared" si="1"/>
        <v>Van der Waals force compensation</v>
      </c>
      <c r="B80" s="25" t="s">
        <v>87</v>
      </c>
      <c r="C80" s="27" t="s">
        <v>185</v>
      </c>
    </row>
    <row r="81" spans="1:3">
      <c r="A81" s="26" t="str">
        <f t="shared" si="1"/>
        <v>Factor</v>
      </c>
      <c r="B81" s="41" t="s">
        <v>88</v>
      </c>
      <c r="C81" s="27" t="s">
        <v>186</v>
      </c>
    </row>
    <row r="82" spans="1:3">
      <c r="A82" s="26" t="str">
        <f t="shared" si="1"/>
        <v>Weight of Air</v>
      </c>
      <c r="B82" s="25" t="s">
        <v>89</v>
      </c>
      <c r="C82" s="27" t="s">
        <v>187</v>
      </c>
    </row>
    <row r="83" spans="1:3">
      <c r="A83" s="26" t="str">
        <f t="shared" si="1"/>
        <v>Selections</v>
      </c>
      <c r="B83" s="25" t="s">
        <v>9</v>
      </c>
      <c r="C83" s="27" t="s">
        <v>188</v>
      </c>
    </row>
    <row r="84" spans="1:3">
      <c r="A84" s="26" t="str">
        <f t="shared" si="1"/>
        <v>Value</v>
      </c>
      <c r="B84" s="27" t="s">
        <v>41</v>
      </c>
      <c r="C84" s="27" t="s">
        <v>189</v>
      </c>
    </row>
    <row r="85" spans="1:3">
      <c r="A85" s="26" t="str">
        <f t="shared" si="1"/>
        <v>Material Tank</v>
      </c>
      <c r="B85" s="27" t="s">
        <v>64</v>
      </c>
      <c r="C85" s="27" t="s">
        <v>190</v>
      </c>
    </row>
    <row r="86" spans="1:3">
      <c r="A86" s="26" t="str">
        <f t="shared" si="1"/>
        <v>Water salt data</v>
      </c>
      <c r="B86" s="27" t="s">
        <v>56</v>
      </c>
      <c r="C86" s="27" t="s">
        <v>191</v>
      </c>
    </row>
    <row r="87" spans="1:3">
      <c r="A87" s="26" t="str">
        <f t="shared" si="1"/>
        <v>Amount</v>
      </c>
      <c r="B87" s="27" t="s">
        <v>22</v>
      </c>
      <c r="C87" s="27" t="s">
        <v>192</v>
      </c>
    </row>
    <row r="88" spans="1:3">
      <c r="A88" s="26" t="str">
        <f t="shared" si="1"/>
        <v>Size</v>
      </c>
      <c r="B88" s="27" t="s">
        <v>7</v>
      </c>
      <c r="C88" s="27" t="s">
        <v>135</v>
      </c>
    </row>
    <row r="89" spans="1:3">
      <c r="A89" s="26" t="str">
        <f t="shared" si="1"/>
        <v>Tanktype, Bar full</v>
      </c>
      <c r="B89" s="27" t="s">
        <v>77</v>
      </c>
      <c r="C89" s="27" t="s">
        <v>193</v>
      </c>
    </row>
    <row r="90" spans="1:3">
      <c r="A90" s="26" t="str">
        <f t="shared" si="1"/>
        <v>Weight tank + everything</v>
      </c>
      <c r="B90" s="27" t="s">
        <v>57</v>
      </c>
      <c r="C90" s="27" t="s">
        <v>194</v>
      </c>
    </row>
    <row r="91" spans="1:3">
      <c r="A91" s="26" t="str">
        <f t="shared" si="1"/>
        <v>Weight tank corrected</v>
      </c>
      <c r="B91" s="27" t="s">
        <v>104</v>
      </c>
      <c r="C91" s="27" t="s">
        <v>195</v>
      </c>
    </row>
    <row r="92" spans="1:3">
      <c r="A92" s="26" t="str">
        <f t="shared" si="1"/>
        <v>Actual bar in tank</v>
      </c>
      <c r="B92" s="27" t="s">
        <v>76</v>
      </c>
      <c r="C92" s="27" t="s">
        <v>196</v>
      </c>
    </row>
    <row r="93" spans="1:3">
      <c r="A93" s="26" t="str">
        <f t="shared" si="1"/>
        <v>Van der Waals force compensation, actual</v>
      </c>
      <c r="B93" s="27" t="s">
        <v>74</v>
      </c>
      <c r="C93" s="27" t="s">
        <v>197</v>
      </c>
    </row>
    <row r="94" spans="1:3">
      <c r="A94" s="26" t="str">
        <f t="shared" si="1"/>
        <v>Van der Waals force compensation, full</v>
      </c>
      <c r="B94" s="27" t="s">
        <v>75</v>
      </c>
      <c r="C94" s="27" t="s">
        <v>198</v>
      </c>
    </row>
    <row r="95" spans="1:3">
      <c r="A95" s="26" t="str">
        <f t="shared" si="1"/>
        <v>Suite type, extra weight</v>
      </c>
      <c r="B95" s="27" t="s">
        <v>65</v>
      </c>
      <c r="C95" s="27" t="s">
        <v>199</v>
      </c>
    </row>
    <row r="96" spans="1:3">
      <c r="A96" s="26" t="str">
        <f t="shared" si="1"/>
        <v>Calculations</v>
      </c>
      <c r="B96" s="25" t="s">
        <v>14</v>
      </c>
      <c r="C96" s="27" t="s">
        <v>200</v>
      </c>
    </row>
    <row r="97" spans="1:3">
      <c r="A97" s="26" t="str">
        <f t="shared" si="1"/>
        <v>Tank liter</v>
      </c>
      <c r="B97" s="27" t="s">
        <v>30</v>
      </c>
      <c r="C97" s="27" t="s">
        <v>201</v>
      </c>
    </row>
    <row r="98" spans="1:3">
      <c r="A98" s="26" t="str">
        <f t="shared" si="1"/>
        <v>Volume tank (material)</v>
      </c>
      <c r="B98" s="27" t="s">
        <v>101</v>
      </c>
      <c r="C98" s="27" t="s">
        <v>202</v>
      </c>
    </row>
    <row r="99" spans="1:3">
      <c r="A99" s="26" t="str">
        <f t="shared" si="1"/>
        <v>Volume tank (material+content)</v>
      </c>
      <c r="B99" s="27" t="s">
        <v>58</v>
      </c>
      <c r="C99" s="27" t="s">
        <v>203</v>
      </c>
    </row>
    <row r="100" spans="1:3">
      <c r="A100" s="26" t="str">
        <f t="shared" si="1"/>
        <v>Bouyancy of tank material</v>
      </c>
      <c r="B100" s="27" t="s">
        <v>15</v>
      </c>
      <c r="C100" s="27" t="s">
        <v>204</v>
      </c>
    </row>
    <row r="101" spans="1:3">
      <c r="A101" s="26" t="str">
        <f t="shared" si="1"/>
        <v>Bouyancy of empty tank</v>
      </c>
      <c r="B101" s="27" t="s">
        <v>16</v>
      </c>
      <c r="C101" s="27" t="s">
        <v>205</v>
      </c>
    </row>
    <row r="102" spans="1:3">
      <c r="A102" s="26" t="str">
        <f t="shared" si="1"/>
        <v>Content of tank, full</v>
      </c>
      <c r="B102" s="27" t="s">
        <v>67</v>
      </c>
      <c r="C102" s="27" t="s">
        <v>206</v>
      </c>
    </row>
    <row r="103" spans="1:3">
      <c r="A103" s="26" t="str">
        <f t="shared" si="1"/>
        <v>Content weight, full</v>
      </c>
      <c r="B103" s="27" t="s">
        <v>68</v>
      </c>
      <c r="C103" s="27" t="s">
        <v>207</v>
      </c>
    </row>
    <row r="104" spans="1:3">
      <c r="A104" s="26" t="str">
        <f t="shared" si="1"/>
        <v>Content of tank, actual</v>
      </c>
      <c r="B104" s="27" t="s">
        <v>69</v>
      </c>
      <c r="C104" s="27" t="s">
        <v>208</v>
      </c>
    </row>
    <row r="105" spans="1:3">
      <c r="A105" s="26" t="str">
        <f t="shared" si="1"/>
        <v>Content weight, actual</v>
      </c>
      <c r="B105" s="27" t="s">
        <v>70</v>
      </c>
      <c r="C105" s="27" t="s">
        <v>209</v>
      </c>
    </row>
    <row r="106" spans="1:3">
      <c r="A106" s="26" t="str">
        <f t="shared" si="1"/>
        <v>Bouyancy of full tank</v>
      </c>
      <c r="B106" s="27" t="s">
        <v>18</v>
      </c>
      <c r="C106" s="27" t="s">
        <v>210</v>
      </c>
    </row>
    <row r="107" spans="1:3">
      <c r="A107" s="26" t="str">
        <f t="shared" si="1"/>
        <v>Bouyancy of tank with current filling</v>
      </c>
      <c r="B107" s="27" t="s">
        <v>71</v>
      </c>
      <c r="C107" s="27" t="s">
        <v>211</v>
      </c>
    </row>
    <row r="108" spans="1:3">
      <c r="A108" s="26" t="str">
        <f t="shared" si="1"/>
        <v>Size of reserve (50bar)</v>
      </c>
      <c r="B108" s="27" t="s">
        <v>60</v>
      </c>
      <c r="C108" s="27" t="s">
        <v>212</v>
      </c>
    </row>
    <row r="109" spans="1:3">
      <c r="A109" s="26" t="str">
        <f t="shared" si="1"/>
        <v>How much would be the perfect weight</v>
      </c>
      <c r="B109" s="27" t="s">
        <v>92</v>
      </c>
      <c r="C109" s="27" t="s">
        <v>213</v>
      </c>
    </row>
    <row r="110" spans="1:3">
      <c r="A110" s="26" t="str">
        <f t="shared" si="1"/>
        <v>Full</v>
      </c>
      <c r="B110" s="25" t="s">
        <v>216</v>
      </c>
      <c r="C110" s="27" t="s">
        <v>217</v>
      </c>
    </row>
    <row r="111" spans="1:3">
      <c r="A111" s="26" t="str">
        <f t="shared" si="1"/>
        <v>Actual with</v>
      </c>
      <c r="B111" s="25" t="s">
        <v>218</v>
      </c>
      <c r="C111" s="27" t="s">
        <v>219</v>
      </c>
    </row>
    <row r="112" spans="1:3">
      <c r="A112" s="26" t="str">
        <f t="shared" si="1"/>
        <v>for drysuite filling</v>
      </c>
      <c r="B112" s="25" t="s">
        <v>220</v>
      </c>
      <c r="C112" s="27" t="s">
        <v>221</v>
      </c>
    </row>
    <row r="113" spans="1:3">
      <c r="A113" s="26" t="str">
        <f t="shared" si="1"/>
        <v>Perfectly weighted!</v>
      </c>
      <c r="B113" s="25" t="s">
        <v>222</v>
      </c>
      <c r="C113" s="27" t="s">
        <v>223</v>
      </c>
    </row>
    <row r="114" spans="1:3">
      <c r="A114" s="26" t="str">
        <f t="shared" si="1"/>
        <v>Ok weighted!</v>
      </c>
      <c r="B114" s="25" t="s">
        <v>224</v>
      </c>
      <c r="C114" s="27" t="s">
        <v>225</v>
      </c>
    </row>
    <row r="115" spans="1:3">
      <c r="A115" s="26" t="str">
        <f t="shared" si="1"/>
        <v>WARNING: Too much weight!</v>
      </c>
      <c r="B115" s="25" t="s">
        <v>226</v>
      </c>
      <c r="C115" s="27" t="s">
        <v>227</v>
      </c>
    </row>
    <row r="116" spans="1:3" ht="30">
      <c r="A116" s="26" t="str">
        <f t="shared" si="1"/>
        <v>Weight calculated for bouyancy with empty tanks, suite, rig, equipment and extra weight</v>
      </c>
      <c r="B116" s="25" t="s">
        <v>228</v>
      </c>
      <c r="C116" s="27" t="s">
        <v>229</v>
      </c>
    </row>
    <row r="117" spans="1:3" ht="60">
      <c r="A117" s="26" t="str">
        <f t="shared" si="1"/>
        <v>WARNING: BCD lift size is too small, rig will not swim on the surface and you will have problem if the drysuite get flooded, anyway with a wetsuite there is always too less lift size in the depth</v>
      </c>
      <c r="B117" s="25" t="s">
        <v>232</v>
      </c>
      <c r="C117" s="27" t="s">
        <v>235</v>
      </c>
    </row>
    <row r="118" spans="1:3">
      <c r="A118" s="26" t="str">
        <f t="shared" si="1"/>
        <v>WARNING: Wing size is too big!</v>
      </c>
      <c r="B118" s="25" t="s">
        <v>233</v>
      </c>
      <c r="C118" s="27" t="s">
        <v>236</v>
      </c>
    </row>
    <row r="119" spans="1:3" ht="30">
      <c r="A119" s="26" t="str">
        <f t="shared" si="1"/>
        <v>BCD size is good - Lift size is &gt; negative bouyancy</v>
      </c>
      <c r="B119" s="43" t="s">
        <v>234</v>
      </c>
      <c r="C119" s="27" t="s">
        <v>237</v>
      </c>
    </row>
    <row r="120" spans="1:3">
      <c r="A120" s="26">
        <f t="shared" si="1"/>
        <v>0</v>
      </c>
    </row>
    <row r="121" spans="1:3">
      <c r="A121" s="26">
        <f t="shared" si="1"/>
        <v>0</v>
      </c>
    </row>
    <row r="122" spans="1:3">
      <c r="A122" s="26">
        <f t="shared" si="1"/>
        <v>0</v>
      </c>
    </row>
    <row r="123" spans="1:3">
      <c r="A123" s="26">
        <f t="shared" si="1"/>
        <v>0</v>
      </c>
    </row>
    <row r="124" spans="1:3">
      <c r="A124" s="26">
        <f t="shared" si="1"/>
        <v>0</v>
      </c>
    </row>
    <row r="125" spans="1:3">
      <c r="A125" s="26">
        <f t="shared" si="1"/>
        <v>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Rig</vt:lpstr>
      <vt:lpstr>Data</vt:lpstr>
      <vt:lpstr>Text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Pannier</dc:creator>
  <cp:lastModifiedBy>Benjamin Pannier</cp:lastModifiedBy>
  <dcterms:created xsi:type="dcterms:W3CDTF">2013-10-30T21:24:16Z</dcterms:created>
  <dcterms:modified xsi:type="dcterms:W3CDTF">2014-01-27T13:38:53Z</dcterms:modified>
</cp:coreProperties>
</file>